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Jalons" sheetId="3" state="visible" r:id="rId3"/>
  </sheets>
  <definedNames>
    <definedName name="_xlnm._FilterDatabase" localSheetId="1" hidden="1">'Paramètres'!$D$2:$I$10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 &quot;jours&quot;"/>
    <numFmt numFmtId="165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FFFFFFFF"/>
      <sz val="16"/>
    </font>
    <font>
      <name val="Aptos"/>
      <b val="1"/>
      <color rgb="FF352646"/>
      <sz val="10"/>
    </font>
    <font>
      <name val="Aptos"/>
      <color rgb="FF352646"/>
      <sz val="10"/>
    </font>
    <font>
      <name val="Aptos"/>
      <b val="1"/>
      <color rgb="FFFFFFFF"/>
      <sz val="10"/>
    </font>
    <font>
      <name val="Aptos"/>
      <i val="1"/>
      <color rgb="FF6E6573"/>
      <sz val="9"/>
    </font>
  </fonts>
  <fills count="7">
    <fill>
      <patternFill/>
    </fill>
    <fill>
      <patternFill patternType="gray125"/>
    </fill>
    <fill>
      <patternFill patternType="solid">
        <fgColor rgb="FF352646"/>
      </patternFill>
    </fill>
    <fill>
      <patternFill patternType="solid">
        <fgColor rgb="FFFFF5ED"/>
      </patternFill>
    </fill>
    <fill>
      <patternFill patternType="solid">
        <fgColor rgb="FFFFF0AE"/>
      </patternFill>
    </fill>
    <fill>
      <patternFill patternType="solid">
        <fgColor rgb="FFDF5149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DFD3DF"/>
      </left>
      <right style="thin">
        <color rgb="FFDFD3DF"/>
      </right>
      <top style="thin">
        <color rgb="FFDFD3DF"/>
      </top>
      <bottom style="thin">
        <color rgb="FFDFD3DF"/>
      </bottom>
    </border>
    <border>
      <left/>
      <right/>
      <top style="thin">
        <color rgb="FFDFD3DF"/>
      </top>
      <bottom/>
      <diagonal/>
    </border>
    <border>
      <left/>
      <right style="thin">
        <color rgb="FFDFD3DF"/>
      </right>
      <top style="thin">
        <color rgb="FFDFD3DF"/>
      </top>
      <bottom/>
      <diagonal/>
    </border>
    <border>
      <left/>
      <right/>
      <top style="thin">
        <color rgb="FFDFD3DF"/>
      </top>
      <bottom style="thin">
        <color rgb="FFDFD3DF"/>
      </bottom>
      <diagonal/>
    </border>
    <border>
      <left/>
      <right style="thin">
        <color rgb="FFDFD3DF"/>
      </right>
      <top style="thin">
        <color rgb="FFDFD3DF"/>
      </top>
      <bottom style="thin">
        <color rgb="FFDFD3DF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center" vertical="center" wrapText="1"/>
    </xf>
    <xf numFmtId="164" fontId="2" fillId="6" borderId="1" applyAlignment="1" pivotButton="0" quotePrefix="0" xfId="0">
      <alignment horizontal="center" vertical="center" wrapText="1"/>
    </xf>
    <xf numFmtId="165" fontId="2" fillId="6" borderId="1" applyAlignment="1" pivotButton="0" quotePrefix="0" xfId="0">
      <alignment horizontal="center" vertical="center" wrapText="1"/>
    </xf>
    <xf numFmtId="1" fontId="2" fillId="6" borderId="1" applyAlignment="1" pivotButton="0" quotePrefix="0" xfId="0">
      <alignment horizontal="center" vertical="center" wrapText="1"/>
    </xf>
    <xf numFmtId="9" fontId="2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165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top" wrapText="1"/>
    </xf>
    <xf numFmtId="165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ont>
        <name val="Aptos"/>
        <b val="1"/>
        <color rgb="FFFFFFFF"/>
        <sz val="10"/>
      </font>
      <fill>
        <patternFill patternType="solid">
          <fgColor rgb="FFDF5149"/>
        </patternFill>
      </fill>
    </dxf>
    <dxf>
      <font>
        <name val="Aptos"/>
        <b val="1"/>
        <color rgb="FF352646"/>
        <sz val="10"/>
      </font>
      <fill>
        <patternFill patternType="solid">
          <fgColor rgb="FFF0A44B"/>
        </patternFill>
      </fill>
    </dxf>
    <dxf>
      <font>
        <name val="Aptos"/>
        <b val="1"/>
        <color rgb="FFFFFFFF"/>
        <sz val="10"/>
      </font>
      <fill>
        <patternFill patternType="solid">
          <fgColor rgb="FF397A62"/>
        </patternFill>
      </fill>
    </dxf>
    <dxf>
      <font>
        <name val="Aptos"/>
        <b val="1"/>
        <color rgb="FF352646"/>
        <sz val="10"/>
      </font>
      <fill>
        <patternFill patternType="solid">
          <fgColor rgb="FF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Actions" displayName="tblActions" ref="A12:F112" headerRowCount="1">
  <autoFilter ref="A12:F112"/>
  <tableColumns count="6">
    <tableColumn id="1" name="ID jalon"/>
    <tableColumn id="2" name="Jalon"/>
    <tableColumn id="3" name="Rôle responsable"/>
    <tableColumn id="4" name="Date cible"/>
    <tableColumn id="5" name="Statut"/>
    <tableColumn id="6" name="Alert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Jalons" displayName="tblJalons" ref="A3:R103" headerRowCount="1">
  <autoFilter ref="A3:R103"/>
  <tableColumns count="18">
    <tableColumn id="1" name="ID jalon"/>
    <tableColumn id="2" name="Événement"/>
    <tableColumn id="3" name="Type d’événement"/>
    <tableColumn id="4" name="Phase"/>
    <tableColumn id="5" name="Jalon"/>
    <tableColumn id="6" name="Livrable attendu"/>
    <tableColumn id="7" name="Rôle responsable"/>
    <tableColumn id="8" name="Rôle validateur"/>
    <tableColumn id="9" name="ID dépendance"/>
    <tableColumn id="10" name="Date cible"/>
    <tableColumn id="11" name="Critique"/>
    <tableColumn id="12" name="Date de soumission"/>
    <tableColumn id="13" name="Statut de validation"/>
    <tableColumn id="14" name="Date de validation"/>
    <tableColumn id="15" name="Commentaire"/>
    <tableColumn id="16" name="Jours restants"/>
    <tableColumn id="17" name="Dépendance validée"/>
    <tableColumn id="18" name="Alert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FF397A62"/>
    <outlinePr summaryBelow="1" summaryRight="1"/>
    <pageSetUpPr fitToPage="1"/>
  </sheetPr>
  <dimension ref="A1:F112"/>
  <sheetViews>
    <sheetView showGridLines="0" zoomScale="9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27" customWidth="1" min="3" max="3"/>
    <col width="16" customWidth="1" min="4" max="4"/>
    <col width="21" customWidth="1" min="5" max="5"/>
    <col width="20" customWidth="1" min="6" max="6"/>
  </cols>
  <sheetData>
    <row r="1" ht="28" customHeight="1">
      <c r="A1" s="1" t="inlineStr">
        <is>
          <t>Synthèse des validations et décision de passage</t>
        </is>
      </c>
      <c r="B1" s="23" t="n"/>
      <c r="C1" s="23" t="n"/>
      <c r="D1" s="23" t="n"/>
      <c r="E1" s="23" t="n"/>
      <c r="F1" s="24" t="n"/>
    </row>
    <row r="2" ht="24" customHeight="1">
      <c r="A2" s="2" t="inlineStr">
        <is>
          <t>La décision est limitée à l’événement sélectionné et reste un repère interne non contractuel.</t>
        </is>
      </c>
    </row>
    <row r="3"/>
    <row r="4" ht="28" customHeight="1">
      <c r="A4" s="3" t="inlineStr">
        <is>
          <t>Événement analysé</t>
        </is>
      </c>
      <c r="B4" s="4">
        <f>Paramètres!$B$3</f>
        <v/>
      </c>
      <c r="D4" s="3" t="inlineStr">
        <is>
          <t>Délai d’alerte</t>
        </is>
      </c>
      <c r="E4" s="25">
        <f>Paramètres!$B$4</f>
        <v/>
      </c>
    </row>
    <row r="5" ht="28" customHeight="1">
      <c r="A5" s="3" t="inlineStr">
        <is>
          <t>Date de référence</t>
        </is>
      </c>
      <c r="B5" s="6">
        <f>Paramètres!$B$2</f>
        <v/>
      </c>
    </row>
    <row r="6"/>
    <row r="7" ht="32" customHeight="1">
      <c r="A7" s="3" t="inlineStr">
        <is>
          <t>Total jalons</t>
        </is>
      </c>
      <c r="B7" s="7">
        <f>IF(Paramètres!$B$3="","",COUNTIF('Jalons'!$B$4:$B$103,Paramètres!$B$3))</f>
        <v/>
      </c>
      <c r="C7" s="3" t="inlineStr">
        <is>
          <t>Jalons critiques</t>
        </is>
      </c>
      <c r="D7" s="7">
        <f>IF(Paramètres!$B$3="","",COUNTIFS('Jalons'!$B$4:$B$103,Paramètres!$B$3,'Jalons'!$K$4:$K$103,"Oui"))</f>
        <v/>
      </c>
      <c r="E7" s="3" t="inlineStr">
        <is>
          <t>Critiques validés</t>
        </is>
      </c>
      <c r="F7" s="7">
        <f>IF(Paramètres!$B$3="","",COUNTIFS('Jalons'!$B$4:$B$103,Paramètres!$B$3,'Jalons'!$K$4:$K$103,"Oui",'Jalons'!$M$4:$M$103,"Validé"))</f>
        <v/>
      </c>
    </row>
    <row r="8" ht="32" customHeight="1">
      <c r="A8" s="3" t="inlineStr">
        <is>
          <t>Taux critiques validés</t>
        </is>
      </c>
      <c r="B8" s="8">
        <f>IF(Paramètres!$B$3="","",IFERROR(COUNTIFS('Jalons'!$B$4:$B$103,Paramètres!$B$3,'Jalons'!$K$4:$K$103,"Oui",'Jalons'!$M$4:$M$103,"Validé")/COUNTIFS('Jalons'!$B$4:$B$103,Paramètres!$B$3,'Jalons'!$K$4:$K$103,"Oui"),0))</f>
        <v/>
      </c>
      <c r="C8" s="3" t="inlineStr">
        <is>
          <t>Critiques refusés</t>
        </is>
      </c>
      <c r="D8" s="7">
        <f>IF(Paramètres!$B$3="","",COUNTIFS('Jalons'!$B$4:$B$103,Paramètres!$B$3,'Jalons'!$K$4:$K$103,"Oui",'Jalons'!$M$4:$M$103,"Refusé"))</f>
        <v/>
      </c>
      <c r="E8" s="3" t="inlineStr">
        <is>
          <t>Critiques en attente</t>
        </is>
      </c>
      <c r="F8" s="7">
        <f>IF(Paramètres!$B$3="","",COUNTIFS('Jalons'!$B$4:$B$103,Paramètres!$B$3,'Jalons'!$K$4:$K$103,"Oui",'Jalons'!$M$4:$M$103,"&lt;&gt;Validé",'Jalons'!$M$4:$M$103,"&lt;&gt;Refusé",'Jalons'!$M$4:$M$103,"&lt;&gt;Sans objet"))</f>
        <v/>
      </c>
    </row>
    <row r="9"/>
    <row r="10" ht="34" customHeight="1">
      <c r="A10" s="3" t="inlineStr">
        <is>
          <t>Décision</t>
        </is>
      </c>
      <c r="B10" s="9">
        <f>IF(Paramètres!$B$3="","",IF(COUNTIFS('Jalons'!$B$4:$B$103,Paramètres!$B$3,'Jalons'!$K$4:$K$103,"Oui")=0,"AUCUN JALON CRITIQUE",IF(COUNTIFS('Jalons'!$B$4:$B$103,Paramètres!$B$3,'Jalons'!$K$4:$K$103,"Oui",'Jalons'!$M$4:$M$103,"Refusé")&gt;0,"ARBITRAGE",IF(COUNTIFS('Jalons'!$B$4:$B$103,Paramètres!$B$3,'Jalons'!$K$4:$K$103,"Oui",'Jalons'!$M$4:$M$103,"Validé")=COUNTIFS('Jalons'!$B$4:$B$103,Paramètres!$B$3,'Jalons'!$K$4:$K$103,"Oui"),"PASSAGE AUTORISÉ","ATTENTE"))))</f>
        <v/>
      </c>
      <c r="C10" s="4" t="n"/>
      <c r="D10" s="4" t="n"/>
      <c r="E10" s="4" t="n"/>
      <c r="F10" s="4" t="n"/>
    </row>
    <row r="11"/>
    <row r="12" ht="34" customHeight="1">
      <c r="A12" s="10" t="inlineStr">
        <is>
          <t>ID jalon</t>
        </is>
      </c>
      <c r="B12" s="10" t="inlineStr">
        <is>
          <t>Jalon</t>
        </is>
      </c>
      <c r="C12" s="10" t="inlineStr">
        <is>
          <t>Rôle responsable</t>
        </is>
      </c>
      <c r="D12" s="10" t="inlineStr">
        <is>
          <t>Date cible</t>
        </is>
      </c>
      <c r="E12" s="10" t="inlineStr">
        <is>
          <t>Statut</t>
        </is>
      </c>
      <c r="F12" s="10" t="inlineStr">
        <is>
          <t>Alerte</t>
        </is>
      </c>
    </row>
    <row r="13" ht="24" customHeight="1">
      <c r="A13" s="11">
        <f>IFERROR(INDEX(Jalons!$A$4:$A$103,AGGREGATE(15,6,(ROW(Jalons!$A$4:$A$103)-ROW(Jalons!$A$4)+1)/((Jalons!$B$4:$B$103=Paramètres!$B$3)*(Jalons!$R$4:$R$103&lt;&gt;"")*(Jalons!$R$4:$R$103&lt;&gt;"OK")),1)),"")</f>
        <v/>
      </c>
      <c r="B13" s="11">
        <f>IF($A13="","",IFERROR(INDEX(Jalons!$E$4:$E$103,MATCH($A13,Jalons!$A$4:$A$103,0)),""))</f>
        <v/>
      </c>
      <c r="C13" s="11">
        <f>IF($A13="","",IFERROR(INDEX(Jalons!$G$4:$G$103,MATCH($A13,Jalons!$A$4:$A$103,0)),""))</f>
        <v/>
      </c>
      <c r="D13" s="12">
        <f>IF($A13="","",IFERROR(IF(INDEX(Jalons!$J$4:$J$103,MATCH($A13,Jalons!$A$4:$A$103,0))=0,"",INDEX(Jalons!$J$4:$J$103,MATCH($A13,Jalons!$A$4:$A$103,0))),""))</f>
        <v/>
      </c>
      <c r="E13" s="13">
        <f>IF($A13="","",IFERROR(INDEX(Jalons!$M$4:$M$103,MATCH($A13,Jalons!$A$4:$A$103,0)),""))</f>
        <v/>
      </c>
      <c r="F13" s="13">
        <f>IF($A13="","",IFERROR(INDEX(Jalons!$R$4:$R$103,MATCH($A13,Jalons!$A$4:$A$103,0)),""))</f>
        <v/>
      </c>
    </row>
    <row r="14" ht="24" customHeight="1">
      <c r="A14" s="14">
        <f>IFERROR(INDEX(Jalons!$A$4:$A$103,AGGREGATE(15,6,(ROW(Jalons!$A$4:$A$103)-ROW(Jalons!$A$4)+1)/((Jalons!$B$4:$B$103=Paramètres!$B$3)*(Jalons!$R$4:$R$103&lt;&gt;"")*(Jalons!$R$4:$R$103&lt;&gt;"OK")),2)),"")</f>
        <v/>
      </c>
      <c r="B14" s="14">
        <f>IF($A14="","",IFERROR(INDEX(Jalons!$E$4:$E$103,MATCH($A14,Jalons!$A$4:$A$103,0)),""))</f>
        <v/>
      </c>
      <c r="C14" s="14">
        <f>IF($A14="","",IFERROR(INDEX(Jalons!$G$4:$G$103,MATCH($A14,Jalons!$A$4:$A$103,0)),""))</f>
        <v/>
      </c>
      <c r="D14" s="15">
        <f>IF($A14="","",IFERROR(IF(INDEX(Jalons!$J$4:$J$103,MATCH($A14,Jalons!$A$4:$A$103,0))=0,"",INDEX(Jalons!$J$4:$J$103,MATCH($A14,Jalons!$A$4:$A$103,0))),""))</f>
        <v/>
      </c>
      <c r="E14" s="16">
        <f>IF($A14="","",IFERROR(INDEX(Jalons!$M$4:$M$103,MATCH($A14,Jalons!$A$4:$A$103,0)),""))</f>
        <v/>
      </c>
      <c r="F14" s="16">
        <f>IF($A14="","",IFERROR(INDEX(Jalons!$R$4:$R$103,MATCH($A14,Jalons!$A$4:$A$103,0)),""))</f>
        <v/>
      </c>
    </row>
    <row r="15" ht="24" customHeight="1">
      <c r="A15" s="11">
        <f>IFERROR(INDEX(Jalons!$A$4:$A$103,AGGREGATE(15,6,(ROW(Jalons!$A$4:$A$103)-ROW(Jalons!$A$4)+1)/((Jalons!$B$4:$B$103=Paramètres!$B$3)*(Jalons!$R$4:$R$103&lt;&gt;"")*(Jalons!$R$4:$R$103&lt;&gt;"OK")),3)),"")</f>
        <v/>
      </c>
      <c r="B15" s="11">
        <f>IF($A15="","",IFERROR(INDEX(Jalons!$E$4:$E$103,MATCH($A15,Jalons!$A$4:$A$103,0)),""))</f>
        <v/>
      </c>
      <c r="C15" s="11">
        <f>IF($A15="","",IFERROR(INDEX(Jalons!$G$4:$G$103,MATCH($A15,Jalons!$A$4:$A$103,0)),""))</f>
        <v/>
      </c>
      <c r="D15" s="12">
        <f>IF($A15="","",IFERROR(IF(INDEX(Jalons!$J$4:$J$103,MATCH($A15,Jalons!$A$4:$A$103,0))=0,"",INDEX(Jalons!$J$4:$J$103,MATCH($A15,Jalons!$A$4:$A$103,0))),""))</f>
        <v/>
      </c>
      <c r="E15" s="13">
        <f>IF($A15="","",IFERROR(INDEX(Jalons!$M$4:$M$103,MATCH($A15,Jalons!$A$4:$A$103,0)),""))</f>
        <v/>
      </c>
      <c r="F15" s="13">
        <f>IF($A15="","",IFERROR(INDEX(Jalons!$R$4:$R$103,MATCH($A15,Jalons!$A$4:$A$103,0)),""))</f>
        <v/>
      </c>
    </row>
    <row r="16" ht="24" customHeight="1">
      <c r="A16" s="14">
        <f>IFERROR(INDEX(Jalons!$A$4:$A$103,AGGREGATE(15,6,(ROW(Jalons!$A$4:$A$103)-ROW(Jalons!$A$4)+1)/((Jalons!$B$4:$B$103=Paramètres!$B$3)*(Jalons!$R$4:$R$103&lt;&gt;"")*(Jalons!$R$4:$R$103&lt;&gt;"OK")),4)),"")</f>
        <v/>
      </c>
      <c r="B16" s="14">
        <f>IF($A16="","",IFERROR(INDEX(Jalons!$E$4:$E$103,MATCH($A16,Jalons!$A$4:$A$103,0)),""))</f>
        <v/>
      </c>
      <c r="C16" s="14">
        <f>IF($A16="","",IFERROR(INDEX(Jalons!$G$4:$G$103,MATCH($A16,Jalons!$A$4:$A$103,0)),""))</f>
        <v/>
      </c>
      <c r="D16" s="15">
        <f>IF($A16="","",IFERROR(IF(INDEX(Jalons!$J$4:$J$103,MATCH($A16,Jalons!$A$4:$A$103,0))=0,"",INDEX(Jalons!$J$4:$J$103,MATCH($A16,Jalons!$A$4:$A$103,0))),""))</f>
        <v/>
      </c>
      <c r="E16" s="16">
        <f>IF($A16="","",IFERROR(INDEX(Jalons!$M$4:$M$103,MATCH($A16,Jalons!$A$4:$A$103,0)),""))</f>
        <v/>
      </c>
      <c r="F16" s="16">
        <f>IF($A16="","",IFERROR(INDEX(Jalons!$R$4:$R$103,MATCH($A16,Jalons!$A$4:$A$103,0)),""))</f>
        <v/>
      </c>
    </row>
    <row r="17" ht="24" customHeight="1">
      <c r="A17" s="11">
        <f>IFERROR(INDEX(Jalons!$A$4:$A$103,AGGREGATE(15,6,(ROW(Jalons!$A$4:$A$103)-ROW(Jalons!$A$4)+1)/((Jalons!$B$4:$B$103=Paramètres!$B$3)*(Jalons!$R$4:$R$103&lt;&gt;"")*(Jalons!$R$4:$R$103&lt;&gt;"OK")),5)),"")</f>
        <v/>
      </c>
      <c r="B17" s="11">
        <f>IF($A17="","",IFERROR(INDEX(Jalons!$E$4:$E$103,MATCH($A17,Jalons!$A$4:$A$103,0)),""))</f>
        <v/>
      </c>
      <c r="C17" s="11">
        <f>IF($A17="","",IFERROR(INDEX(Jalons!$G$4:$G$103,MATCH($A17,Jalons!$A$4:$A$103,0)),""))</f>
        <v/>
      </c>
      <c r="D17" s="12">
        <f>IF($A17="","",IFERROR(IF(INDEX(Jalons!$J$4:$J$103,MATCH($A17,Jalons!$A$4:$A$103,0))=0,"",INDEX(Jalons!$J$4:$J$103,MATCH($A17,Jalons!$A$4:$A$103,0))),""))</f>
        <v/>
      </c>
      <c r="E17" s="13">
        <f>IF($A17="","",IFERROR(INDEX(Jalons!$M$4:$M$103,MATCH($A17,Jalons!$A$4:$A$103,0)),""))</f>
        <v/>
      </c>
      <c r="F17" s="13">
        <f>IF($A17="","",IFERROR(INDEX(Jalons!$R$4:$R$103,MATCH($A17,Jalons!$A$4:$A$103,0)),""))</f>
        <v/>
      </c>
    </row>
    <row r="18" ht="24" customHeight="1">
      <c r="A18" s="14">
        <f>IFERROR(INDEX(Jalons!$A$4:$A$103,AGGREGATE(15,6,(ROW(Jalons!$A$4:$A$103)-ROW(Jalons!$A$4)+1)/((Jalons!$B$4:$B$103=Paramètres!$B$3)*(Jalons!$R$4:$R$103&lt;&gt;"")*(Jalons!$R$4:$R$103&lt;&gt;"OK")),6)),"")</f>
        <v/>
      </c>
      <c r="B18" s="14">
        <f>IF($A18="","",IFERROR(INDEX(Jalons!$E$4:$E$103,MATCH($A18,Jalons!$A$4:$A$103,0)),""))</f>
        <v/>
      </c>
      <c r="C18" s="14">
        <f>IF($A18="","",IFERROR(INDEX(Jalons!$G$4:$G$103,MATCH($A18,Jalons!$A$4:$A$103,0)),""))</f>
        <v/>
      </c>
      <c r="D18" s="15">
        <f>IF($A18="","",IFERROR(IF(INDEX(Jalons!$J$4:$J$103,MATCH($A18,Jalons!$A$4:$A$103,0))=0,"",INDEX(Jalons!$J$4:$J$103,MATCH($A18,Jalons!$A$4:$A$103,0))),""))</f>
        <v/>
      </c>
      <c r="E18" s="16">
        <f>IF($A18="","",IFERROR(INDEX(Jalons!$M$4:$M$103,MATCH($A18,Jalons!$A$4:$A$103,0)),""))</f>
        <v/>
      </c>
      <c r="F18" s="16">
        <f>IF($A18="","",IFERROR(INDEX(Jalons!$R$4:$R$103,MATCH($A18,Jalons!$A$4:$A$103,0)),""))</f>
        <v/>
      </c>
    </row>
    <row r="19" ht="24" customHeight="1">
      <c r="A19" s="11">
        <f>IFERROR(INDEX(Jalons!$A$4:$A$103,AGGREGATE(15,6,(ROW(Jalons!$A$4:$A$103)-ROW(Jalons!$A$4)+1)/((Jalons!$B$4:$B$103=Paramètres!$B$3)*(Jalons!$R$4:$R$103&lt;&gt;"")*(Jalons!$R$4:$R$103&lt;&gt;"OK")),7)),"")</f>
        <v/>
      </c>
      <c r="B19" s="11">
        <f>IF($A19="","",IFERROR(INDEX(Jalons!$E$4:$E$103,MATCH($A19,Jalons!$A$4:$A$103,0)),""))</f>
        <v/>
      </c>
      <c r="C19" s="11">
        <f>IF($A19="","",IFERROR(INDEX(Jalons!$G$4:$G$103,MATCH($A19,Jalons!$A$4:$A$103,0)),""))</f>
        <v/>
      </c>
      <c r="D19" s="12">
        <f>IF($A19="","",IFERROR(IF(INDEX(Jalons!$J$4:$J$103,MATCH($A19,Jalons!$A$4:$A$103,0))=0,"",INDEX(Jalons!$J$4:$J$103,MATCH($A19,Jalons!$A$4:$A$103,0))),""))</f>
        <v/>
      </c>
      <c r="E19" s="13">
        <f>IF($A19="","",IFERROR(INDEX(Jalons!$M$4:$M$103,MATCH($A19,Jalons!$A$4:$A$103,0)),""))</f>
        <v/>
      </c>
      <c r="F19" s="13">
        <f>IF($A19="","",IFERROR(INDEX(Jalons!$R$4:$R$103,MATCH($A19,Jalons!$A$4:$A$103,0)),""))</f>
        <v/>
      </c>
    </row>
    <row r="20" ht="24" customHeight="1">
      <c r="A20" s="14">
        <f>IFERROR(INDEX(Jalons!$A$4:$A$103,AGGREGATE(15,6,(ROW(Jalons!$A$4:$A$103)-ROW(Jalons!$A$4)+1)/((Jalons!$B$4:$B$103=Paramètres!$B$3)*(Jalons!$R$4:$R$103&lt;&gt;"")*(Jalons!$R$4:$R$103&lt;&gt;"OK")),8)),"")</f>
        <v/>
      </c>
      <c r="B20" s="14">
        <f>IF($A20="","",IFERROR(INDEX(Jalons!$E$4:$E$103,MATCH($A20,Jalons!$A$4:$A$103,0)),""))</f>
        <v/>
      </c>
      <c r="C20" s="14">
        <f>IF($A20="","",IFERROR(INDEX(Jalons!$G$4:$G$103,MATCH($A20,Jalons!$A$4:$A$103,0)),""))</f>
        <v/>
      </c>
      <c r="D20" s="15">
        <f>IF($A20="","",IFERROR(IF(INDEX(Jalons!$J$4:$J$103,MATCH($A20,Jalons!$A$4:$A$103,0))=0,"",INDEX(Jalons!$J$4:$J$103,MATCH($A20,Jalons!$A$4:$A$103,0))),""))</f>
        <v/>
      </c>
      <c r="E20" s="16">
        <f>IF($A20="","",IFERROR(INDEX(Jalons!$M$4:$M$103,MATCH($A20,Jalons!$A$4:$A$103,0)),""))</f>
        <v/>
      </c>
      <c r="F20" s="16">
        <f>IF($A20="","",IFERROR(INDEX(Jalons!$R$4:$R$103,MATCH($A20,Jalons!$A$4:$A$103,0)),""))</f>
        <v/>
      </c>
    </row>
    <row r="21" ht="24" customHeight="1">
      <c r="A21" s="11">
        <f>IFERROR(INDEX(Jalons!$A$4:$A$103,AGGREGATE(15,6,(ROW(Jalons!$A$4:$A$103)-ROW(Jalons!$A$4)+1)/((Jalons!$B$4:$B$103=Paramètres!$B$3)*(Jalons!$R$4:$R$103&lt;&gt;"")*(Jalons!$R$4:$R$103&lt;&gt;"OK")),9)),"")</f>
        <v/>
      </c>
      <c r="B21" s="11">
        <f>IF($A21="","",IFERROR(INDEX(Jalons!$E$4:$E$103,MATCH($A21,Jalons!$A$4:$A$103,0)),""))</f>
        <v/>
      </c>
      <c r="C21" s="11">
        <f>IF($A21="","",IFERROR(INDEX(Jalons!$G$4:$G$103,MATCH($A21,Jalons!$A$4:$A$103,0)),""))</f>
        <v/>
      </c>
      <c r="D21" s="12">
        <f>IF($A21="","",IFERROR(IF(INDEX(Jalons!$J$4:$J$103,MATCH($A21,Jalons!$A$4:$A$103,0))=0,"",INDEX(Jalons!$J$4:$J$103,MATCH($A21,Jalons!$A$4:$A$103,0))),""))</f>
        <v/>
      </c>
      <c r="E21" s="13">
        <f>IF($A21="","",IFERROR(INDEX(Jalons!$M$4:$M$103,MATCH($A21,Jalons!$A$4:$A$103,0)),""))</f>
        <v/>
      </c>
      <c r="F21" s="13">
        <f>IF($A21="","",IFERROR(INDEX(Jalons!$R$4:$R$103,MATCH($A21,Jalons!$A$4:$A$103,0)),""))</f>
        <v/>
      </c>
    </row>
    <row r="22" ht="24" customHeight="1">
      <c r="A22" s="14">
        <f>IFERROR(INDEX(Jalons!$A$4:$A$103,AGGREGATE(15,6,(ROW(Jalons!$A$4:$A$103)-ROW(Jalons!$A$4)+1)/((Jalons!$B$4:$B$103=Paramètres!$B$3)*(Jalons!$R$4:$R$103&lt;&gt;"")*(Jalons!$R$4:$R$103&lt;&gt;"OK")),10)),"")</f>
        <v/>
      </c>
      <c r="B22" s="14">
        <f>IF($A22="","",IFERROR(INDEX(Jalons!$E$4:$E$103,MATCH($A22,Jalons!$A$4:$A$103,0)),""))</f>
        <v/>
      </c>
      <c r="C22" s="14">
        <f>IF($A22="","",IFERROR(INDEX(Jalons!$G$4:$G$103,MATCH($A22,Jalons!$A$4:$A$103,0)),""))</f>
        <v/>
      </c>
      <c r="D22" s="15">
        <f>IF($A22="","",IFERROR(IF(INDEX(Jalons!$J$4:$J$103,MATCH($A22,Jalons!$A$4:$A$103,0))=0,"",INDEX(Jalons!$J$4:$J$103,MATCH($A22,Jalons!$A$4:$A$103,0))),""))</f>
        <v/>
      </c>
      <c r="E22" s="16">
        <f>IF($A22="","",IFERROR(INDEX(Jalons!$M$4:$M$103,MATCH($A22,Jalons!$A$4:$A$103,0)),""))</f>
        <v/>
      </c>
      <c r="F22" s="16">
        <f>IF($A22="","",IFERROR(INDEX(Jalons!$R$4:$R$103,MATCH($A22,Jalons!$A$4:$A$103,0)),""))</f>
        <v/>
      </c>
    </row>
    <row r="23" ht="24" customHeight="1">
      <c r="A23" s="11">
        <f>IFERROR(INDEX(Jalons!$A$4:$A$103,AGGREGATE(15,6,(ROW(Jalons!$A$4:$A$103)-ROW(Jalons!$A$4)+1)/((Jalons!$B$4:$B$103=Paramètres!$B$3)*(Jalons!$R$4:$R$103&lt;&gt;"")*(Jalons!$R$4:$R$103&lt;&gt;"OK")),11)),"")</f>
        <v/>
      </c>
      <c r="B23" s="11">
        <f>IF($A23="","",IFERROR(INDEX(Jalons!$E$4:$E$103,MATCH($A23,Jalons!$A$4:$A$103,0)),""))</f>
        <v/>
      </c>
      <c r="C23" s="11">
        <f>IF($A23="","",IFERROR(INDEX(Jalons!$G$4:$G$103,MATCH($A23,Jalons!$A$4:$A$103,0)),""))</f>
        <v/>
      </c>
      <c r="D23" s="12">
        <f>IF($A23="","",IFERROR(IF(INDEX(Jalons!$J$4:$J$103,MATCH($A23,Jalons!$A$4:$A$103,0))=0,"",INDEX(Jalons!$J$4:$J$103,MATCH($A23,Jalons!$A$4:$A$103,0))),""))</f>
        <v/>
      </c>
      <c r="E23" s="13">
        <f>IF($A23="","",IFERROR(INDEX(Jalons!$M$4:$M$103,MATCH($A23,Jalons!$A$4:$A$103,0)),""))</f>
        <v/>
      </c>
      <c r="F23" s="13">
        <f>IF($A23="","",IFERROR(INDEX(Jalons!$R$4:$R$103,MATCH($A23,Jalons!$A$4:$A$103,0)),""))</f>
        <v/>
      </c>
    </row>
    <row r="24" ht="24" customHeight="1">
      <c r="A24" s="14">
        <f>IFERROR(INDEX(Jalons!$A$4:$A$103,AGGREGATE(15,6,(ROW(Jalons!$A$4:$A$103)-ROW(Jalons!$A$4)+1)/((Jalons!$B$4:$B$103=Paramètres!$B$3)*(Jalons!$R$4:$R$103&lt;&gt;"")*(Jalons!$R$4:$R$103&lt;&gt;"OK")),12)),"")</f>
        <v/>
      </c>
      <c r="B24" s="14">
        <f>IF($A24="","",IFERROR(INDEX(Jalons!$E$4:$E$103,MATCH($A24,Jalons!$A$4:$A$103,0)),""))</f>
        <v/>
      </c>
      <c r="C24" s="14">
        <f>IF($A24="","",IFERROR(INDEX(Jalons!$G$4:$G$103,MATCH($A24,Jalons!$A$4:$A$103,0)),""))</f>
        <v/>
      </c>
      <c r="D24" s="15">
        <f>IF($A24="","",IFERROR(IF(INDEX(Jalons!$J$4:$J$103,MATCH($A24,Jalons!$A$4:$A$103,0))=0,"",INDEX(Jalons!$J$4:$J$103,MATCH($A24,Jalons!$A$4:$A$103,0))),""))</f>
        <v/>
      </c>
      <c r="E24" s="16">
        <f>IF($A24="","",IFERROR(INDEX(Jalons!$M$4:$M$103,MATCH($A24,Jalons!$A$4:$A$103,0)),""))</f>
        <v/>
      </c>
      <c r="F24" s="16">
        <f>IF($A24="","",IFERROR(INDEX(Jalons!$R$4:$R$103,MATCH($A24,Jalons!$A$4:$A$103,0)),""))</f>
        <v/>
      </c>
    </row>
    <row r="25" ht="24" customHeight="1">
      <c r="A25" s="11">
        <f>IFERROR(INDEX(Jalons!$A$4:$A$103,AGGREGATE(15,6,(ROW(Jalons!$A$4:$A$103)-ROW(Jalons!$A$4)+1)/((Jalons!$B$4:$B$103=Paramètres!$B$3)*(Jalons!$R$4:$R$103&lt;&gt;"")*(Jalons!$R$4:$R$103&lt;&gt;"OK")),13)),"")</f>
        <v/>
      </c>
      <c r="B25" s="11">
        <f>IF($A25="","",IFERROR(INDEX(Jalons!$E$4:$E$103,MATCH($A25,Jalons!$A$4:$A$103,0)),""))</f>
        <v/>
      </c>
      <c r="C25" s="11">
        <f>IF($A25="","",IFERROR(INDEX(Jalons!$G$4:$G$103,MATCH($A25,Jalons!$A$4:$A$103,0)),""))</f>
        <v/>
      </c>
      <c r="D25" s="12">
        <f>IF($A25="","",IFERROR(IF(INDEX(Jalons!$J$4:$J$103,MATCH($A25,Jalons!$A$4:$A$103,0))=0,"",INDEX(Jalons!$J$4:$J$103,MATCH($A25,Jalons!$A$4:$A$103,0))),""))</f>
        <v/>
      </c>
      <c r="E25" s="13">
        <f>IF($A25="","",IFERROR(INDEX(Jalons!$M$4:$M$103,MATCH($A25,Jalons!$A$4:$A$103,0)),""))</f>
        <v/>
      </c>
      <c r="F25" s="13">
        <f>IF($A25="","",IFERROR(INDEX(Jalons!$R$4:$R$103,MATCH($A25,Jalons!$A$4:$A$103,0)),""))</f>
        <v/>
      </c>
    </row>
    <row r="26" ht="24" customHeight="1">
      <c r="A26" s="14">
        <f>IFERROR(INDEX(Jalons!$A$4:$A$103,AGGREGATE(15,6,(ROW(Jalons!$A$4:$A$103)-ROW(Jalons!$A$4)+1)/((Jalons!$B$4:$B$103=Paramètres!$B$3)*(Jalons!$R$4:$R$103&lt;&gt;"")*(Jalons!$R$4:$R$103&lt;&gt;"OK")),14)),"")</f>
        <v/>
      </c>
      <c r="B26" s="14">
        <f>IF($A26="","",IFERROR(INDEX(Jalons!$E$4:$E$103,MATCH($A26,Jalons!$A$4:$A$103,0)),""))</f>
        <v/>
      </c>
      <c r="C26" s="14">
        <f>IF($A26="","",IFERROR(INDEX(Jalons!$G$4:$G$103,MATCH($A26,Jalons!$A$4:$A$103,0)),""))</f>
        <v/>
      </c>
      <c r="D26" s="15">
        <f>IF($A26="","",IFERROR(IF(INDEX(Jalons!$J$4:$J$103,MATCH($A26,Jalons!$A$4:$A$103,0))=0,"",INDEX(Jalons!$J$4:$J$103,MATCH($A26,Jalons!$A$4:$A$103,0))),""))</f>
        <v/>
      </c>
      <c r="E26" s="16">
        <f>IF($A26="","",IFERROR(INDEX(Jalons!$M$4:$M$103,MATCH($A26,Jalons!$A$4:$A$103,0)),""))</f>
        <v/>
      </c>
      <c r="F26" s="16">
        <f>IF($A26="","",IFERROR(INDEX(Jalons!$R$4:$R$103,MATCH($A26,Jalons!$A$4:$A$103,0)),""))</f>
        <v/>
      </c>
    </row>
    <row r="27" ht="24" customHeight="1">
      <c r="A27" s="11">
        <f>IFERROR(INDEX(Jalons!$A$4:$A$103,AGGREGATE(15,6,(ROW(Jalons!$A$4:$A$103)-ROW(Jalons!$A$4)+1)/((Jalons!$B$4:$B$103=Paramètres!$B$3)*(Jalons!$R$4:$R$103&lt;&gt;"")*(Jalons!$R$4:$R$103&lt;&gt;"OK")),15)),"")</f>
        <v/>
      </c>
      <c r="B27" s="11">
        <f>IF($A27="","",IFERROR(INDEX(Jalons!$E$4:$E$103,MATCH($A27,Jalons!$A$4:$A$103,0)),""))</f>
        <v/>
      </c>
      <c r="C27" s="11">
        <f>IF($A27="","",IFERROR(INDEX(Jalons!$G$4:$G$103,MATCH($A27,Jalons!$A$4:$A$103,0)),""))</f>
        <v/>
      </c>
      <c r="D27" s="12">
        <f>IF($A27="","",IFERROR(IF(INDEX(Jalons!$J$4:$J$103,MATCH($A27,Jalons!$A$4:$A$103,0))=0,"",INDEX(Jalons!$J$4:$J$103,MATCH($A27,Jalons!$A$4:$A$103,0))),""))</f>
        <v/>
      </c>
      <c r="E27" s="13">
        <f>IF($A27="","",IFERROR(INDEX(Jalons!$M$4:$M$103,MATCH($A27,Jalons!$A$4:$A$103,0)),""))</f>
        <v/>
      </c>
      <c r="F27" s="13">
        <f>IF($A27="","",IFERROR(INDEX(Jalons!$R$4:$R$103,MATCH($A27,Jalons!$A$4:$A$103,0)),""))</f>
        <v/>
      </c>
    </row>
    <row r="28" ht="24" customHeight="1">
      <c r="A28" s="14">
        <f>IFERROR(INDEX(Jalons!$A$4:$A$103,AGGREGATE(15,6,(ROW(Jalons!$A$4:$A$103)-ROW(Jalons!$A$4)+1)/((Jalons!$B$4:$B$103=Paramètres!$B$3)*(Jalons!$R$4:$R$103&lt;&gt;"")*(Jalons!$R$4:$R$103&lt;&gt;"OK")),16)),"")</f>
        <v/>
      </c>
      <c r="B28" s="14">
        <f>IF($A28="","",IFERROR(INDEX(Jalons!$E$4:$E$103,MATCH($A28,Jalons!$A$4:$A$103,0)),""))</f>
        <v/>
      </c>
      <c r="C28" s="14">
        <f>IF($A28="","",IFERROR(INDEX(Jalons!$G$4:$G$103,MATCH($A28,Jalons!$A$4:$A$103,0)),""))</f>
        <v/>
      </c>
      <c r="D28" s="15">
        <f>IF($A28="","",IFERROR(IF(INDEX(Jalons!$J$4:$J$103,MATCH($A28,Jalons!$A$4:$A$103,0))=0,"",INDEX(Jalons!$J$4:$J$103,MATCH($A28,Jalons!$A$4:$A$103,0))),""))</f>
        <v/>
      </c>
      <c r="E28" s="16">
        <f>IF($A28="","",IFERROR(INDEX(Jalons!$M$4:$M$103,MATCH($A28,Jalons!$A$4:$A$103,0)),""))</f>
        <v/>
      </c>
      <c r="F28" s="16">
        <f>IF($A28="","",IFERROR(INDEX(Jalons!$R$4:$R$103,MATCH($A28,Jalons!$A$4:$A$103,0)),""))</f>
        <v/>
      </c>
    </row>
    <row r="29" ht="24" customHeight="1">
      <c r="A29" s="11">
        <f>IFERROR(INDEX(Jalons!$A$4:$A$103,AGGREGATE(15,6,(ROW(Jalons!$A$4:$A$103)-ROW(Jalons!$A$4)+1)/((Jalons!$B$4:$B$103=Paramètres!$B$3)*(Jalons!$R$4:$R$103&lt;&gt;"")*(Jalons!$R$4:$R$103&lt;&gt;"OK")),17)),"")</f>
        <v/>
      </c>
      <c r="B29" s="11">
        <f>IF($A29="","",IFERROR(INDEX(Jalons!$E$4:$E$103,MATCH($A29,Jalons!$A$4:$A$103,0)),""))</f>
        <v/>
      </c>
      <c r="C29" s="11">
        <f>IF($A29="","",IFERROR(INDEX(Jalons!$G$4:$G$103,MATCH($A29,Jalons!$A$4:$A$103,0)),""))</f>
        <v/>
      </c>
      <c r="D29" s="12">
        <f>IF($A29="","",IFERROR(IF(INDEX(Jalons!$J$4:$J$103,MATCH($A29,Jalons!$A$4:$A$103,0))=0,"",INDEX(Jalons!$J$4:$J$103,MATCH($A29,Jalons!$A$4:$A$103,0))),""))</f>
        <v/>
      </c>
      <c r="E29" s="13">
        <f>IF($A29="","",IFERROR(INDEX(Jalons!$M$4:$M$103,MATCH($A29,Jalons!$A$4:$A$103,0)),""))</f>
        <v/>
      </c>
      <c r="F29" s="13">
        <f>IF($A29="","",IFERROR(INDEX(Jalons!$R$4:$R$103,MATCH($A29,Jalons!$A$4:$A$103,0)),""))</f>
        <v/>
      </c>
    </row>
    <row r="30" ht="24" customHeight="1">
      <c r="A30" s="14">
        <f>IFERROR(INDEX(Jalons!$A$4:$A$103,AGGREGATE(15,6,(ROW(Jalons!$A$4:$A$103)-ROW(Jalons!$A$4)+1)/((Jalons!$B$4:$B$103=Paramètres!$B$3)*(Jalons!$R$4:$R$103&lt;&gt;"")*(Jalons!$R$4:$R$103&lt;&gt;"OK")),18)),"")</f>
        <v/>
      </c>
      <c r="B30" s="14">
        <f>IF($A30="","",IFERROR(INDEX(Jalons!$E$4:$E$103,MATCH($A30,Jalons!$A$4:$A$103,0)),""))</f>
        <v/>
      </c>
      <c r="C30" s="14">
        <f>IF($A30="","",IFERROR(INDEX(Jalons!$G$4:$G$103,MATCH($A30,Jalons!$A$4:$A$103,0)),""))</f>
        <v/>
      </c>
      <c r="D30" s="15">
        <f>IF($A30="","",IFERROR(IF(INDEX(Jalons!$J$4:$J$103,MATCH($A30,Jalons!$A$4:$A$103,0))=0,"",INDEX(Jalons!$J$4:$J$103,MATCH($A30,Jalons!$A$4:$A$103,0))),""))</f>
        <v/>
      </c>
      <c r="E30" s="16">
        <f>IF($A30="","",IFERROR(INDEX(Jalons!$M$4:$M$103,MATCH($A30,Jalons!$A$4:$A$103,0)),""))</f>
        <v/>
      </c>
      <c r="F30" s="16">
        <f>IF($A30="","",IFERROR(INDEX(Jalons!$R$4:$R$103,MATCH($A30,Jalons!$A$4:$A$103,0)),""))</f>
        <v/>
      </c>
    </row>
    <row r="31" ht="24" customHeight="1">
      <c r="A31" s="11">
        <f>IFERROR(INDEX(Jalons!$A$4:$A$103,AGGREGATE(15,6,(ROW(Jalons!$A$4:$A$103)-ROW(Jalons!$A$4)+1)/((Jalons!$B$4:$B$103=Paramètres!$B$3)*(Jalons!$R$4:$R$103&lt;&gt;"")*(Jalons!$R$4:$R$103&lt;&gt;"OK")),19)),"")</f>
        <v/>
      </c>
      <c r="B31" s="11">
        <f>IF($A31="","",IFERROR(INDEX(Jalons!$E$4:$E$103,MATCH($A31,Jalons!$A$4:$A$103,0)),""))</f>
        <v/>
      </c>
      <c r="C31" s="11">
        <f>IF($A31="","",IFERROR(INDEX(Jalons!$G$4:$G$103,MATCH($A31,Jalons!$A$4:$A$103,0)),""))</f>
        <v/>
      </c>
      <c r="D31" s="12">
        <f>IF($A31="","",IFERROR(IF(INDEX(Jalons!$J$4:$J$103,MATCH($A31,Jalons!$A$4:$A$103,0))=0,"",INDEX(Jalons!$J$4:$J$103,MATCH($A31,Jalons!$A$4:$A$103,0))),""))</f>
        <v/>
      </c>
      <c r="E31" s="13">
        <f>IF($A31="","",IFERROR(INDEX(Jalons!$M$4:$M$103,MATCH($A31,Jalons!$A$4:$A$103,0)),""))</f>
        <v/>
      </c>
      <c r="F31" s="13">
        <f>IF($A31="","",IFERROR(INDEX(Jalons!$R$4:$R$103,MATCH($A31,Jalons!$A$4:$A$103,0)),""))</f>
        <v/>
      </c>
    </row>
    <row r="32" ht="24" customHeight="1">
      <c r="A32" s="14">
        <f>IFERROR(INDEX(Jalons!$A$4:$A$103,AGGREGATE(15,6,(ROW(Jalons!$A$4:$A$103)-ROW(Jalons!$A$4)+1)/((Jalons!$B$4:$B$103=Paramètres!$B$3)*(Jalons!$R$4:$R$103&lt;&gt;"")*(Jalons!$R$4:$R$103&lt;&gt;"OK")),20)),"")</f>
        <v/>
      </c>
      <c r="B32" s="14">
        <f>IF($A32="","",IFERROR(INDEX(Jalons!$E$4:$E$103,MATCH($A32,Jalons!$A$4:$A$103,0)),""))</f>
        <v/>
      </c>
      <c r="C32" s="14">
        <f>IF($A32="","",IFERROR(INDEX(Jalons!$G$4:$G$103,MATCH($A32,Jalons!$A$4:$A$103,0)),""))</f>
        <v/>
      </c>
      <c r="D32" s="15">
        <f>IF($A32="","",IFERROR(IF(INDEX(Jalons!$J$4:$J$103,MATCH($A32,Jalons!$A$4:$A$103,0))=0,"",INDEX(Jalons!$J$4:$J$103,MATCH($A32,Jalons!$A$4:$A$103,0))),""))</f>
        <v/>
      </c>
      <c r="E32" s="16">
        <f>IF($A32="","",IFERROR(INDEX(Jalons!$M$4:$M$103,MATCH($A32,Jalons!$A$4:$A$103,0)),""))</f>
        <v/>
      </c>
      <c r="F32" s="16">
        <f>IF($A32="","",IFERROR(INDEX(Jalons!$R$4:$R$103,MATCH($A32,Jalons!$A$4:$A$103,0)),""))</f>
        <v/>
      </c>
    </row>
    <row r="33" ht="24" customHeight="1">
      <c r="A33" s="11">
        <f>IFERROR(INDEX(Jalons!$A$4:$A$103,AGGREGATE(15,6,(ROW(Jalons!$A$4:$A$103)-ROW(Jalons!$A$4)+1)/((Jalons!$B$4:$B$103=Paramètres!$B$3)*(Jalons!$R$4:$R$103&lt;&gt;"")*(Jalons!$R$4:$R$103&lt;&gt;"OK")),21)),"")</f>
        <v/>
      </c>
      <c r="B33" s="11">
        <f>IF($A33="","",IFERROR(INDEX(Jalons!$E$4:$E$103,MATCH($A33,Jalons!$A$4:$A$103,0)),""))</f>
        <v/>
      </c>
      <c r="C33" s="11">
        <f>IF($A33="","",IFERROR(INDEX(Jalons!$G$4:$G$103,MATCH($A33,Jalons!$A$4:$A$103,0)),""))</f>
        <v/>
      </c>
      <c r="D33" s="12">
        <f>IF($A33="","",IFERROR(IF(INDEX(Jalons!$J$4:$J$103,MATCH($A33,Jalons!$A$4:$A$103,0))=0,"",INDEX(Jalons!$J$4:$J$103,MATCH($A33,Jalons!$A$4:$A$103,0))),""))</f>
        <v/>
      </c>
      <c r="E33" s="13">
        <f>IF($A33="","",IFERROR(INDEX(Jalons!$M$4:$M$103,MATCH($A33,Jalons!$A$4:$A$103,0)),""))</f>
        <v/>
      </c>
      <c r="F33" s="13">
        <f>IF($A33="","",IFERROR(INDEX(Jalons!$R$4:$R$103,MATCH($A33,Jalons!$A$4:$A$103,0)),""))</f>
        <v/>
      </c>
    </row>
    <row r="34" ht="24" customHeight="1">
      <c r="A34" s="14">
        <f>IFERROR(INDEX(Jalons!$A$4:$A$103,AGGREGATE(15,6,(ROW(Jalons!$A$4:$A$103)-ROW(Jalons!$A$4)+1)/((Jalons!$B$4:$B$103=Paramètres!$B$3)*(Jalons!$R$4:$R$103&lt;&gt;"")*(Jalons!$R$4:$R$103&lt;&gt;"OK")),22)),"")</f>
        <v/>
      </c>
      <c r="B34" s="14">
        <f>IF($A34="","",IFERROR(INDEX(Jalons!$E$4:$E$103,MATCH($A34,Jalons!$A$4:$A$103,0)),""))</f>
        <v/>
      </c>
      <c r="C34" s="14">
        <f>IF($A34="","",IFERROR(INDEX(Jalons!$G$4:$G$103,MATCH($A34,Jalons!$A$4:$A$103,0)),""))</f>
        <v/>
      </c>
      <c r="D34" s="15">
        <f>IF($A34="","",IFERROR(IF(INDEX(Jalons!$J$4:$J$103,MATCH($A34,Jalons!$A$4:$A$103,0))=0,"",INDEX(Jalons!$J$4:$J$103,MATCH($A34,Jalons!$A$4:$A$103,0))),""))</f>
        <v/>
      </c>
      <c r="E34" s="16">
        <f>IF($A34="","",IFERROR(INDEX(Jalons!$M$4:$M$103,MATCH($A34,Jalons!$A$4:$A$103,0)),""))</f>
        <v/>
      </c>
      <c r="F34" s="16">
        <f>IF($A34="","",IFERROR(INDEX(Jalons!$R$4:$R$103,MATCH($A34,Jalons!$A$4:$A$103,0)),""))</f>
        <v/>
      </c>
    </row>
    <row r="35" ht="24" customHeight="1">
      <c r="A35" s="11">
        <f>IFERROR(INDEX(Jalons!$A$4:$A$103,AGGREGATE(15,6,(ROW(Jalons!$A$4:$A$103)-ROW(Jalons!$A$4)+1)/((Jalons!$B$4:$B$103=Paramètres!$B$3)*(Jalons!$R$4:$R$103&lt;&gt;"")*(Jalons!$R$4:$R$103&lt;&gt;"OK")),23)),"")</f>
        <v/>
      </c>
      <c r="B35" s="11">
        <f>IF($A35="","",IFERROR(INDEX(Jalons!$E$4:$E$103,MATCH($A35,Jalons!$A$4:$A$103,0)),""))</f>
        <v/>
      </c>
      <c r="C35" s="11">
        <f>IF($A35="","",IFERROR(INDEX(Jalons!$G$4:$G$103,MATCH($A35,Jalons!$A$4:$A$103,0)),""))</f>
        <v/>
      </c>
      <c r="D35" s="12">
        <f>IF($A35="","",IFERROR(IF(INDEX(Jalons!$J$4:$J$103,MATCH($A35,Jalons!$A$4:$A$103,0))=0,"",INDEX(Jalons!$J$4:$J$103,MATCH($A35,Jalons!$A$4:$A$103,0))),""))</f>
        <v/>
      </c>
      <c r="E35" s="13">
        <f>IF($A35="","",IFERROR(INDEX(Jalons!$M$4:$M$103,MATCH($A35,Jalons!$A$4:$A$103,0)),""))</f>
        <v/>
      </c>
      <c r="F35" s="13">
        <f>IF($A35="","",IFERROR(INDEX(Jalons!$R$4:$R$103,MATCH($A35,Jalons!$A$4:$A$103,0)),""))</f>
        <v/>
      </c>
    </row>
    <row r="36" ht="24" customHeight="1">
      <c r="A36" s="14">
        <f>IFERROR(INDEX(Jalons!$A$4:$A$103,AGGREGATE(15,6,(ROW(Jalons!$A$4:$A$103)-ROW(Jalons!$A$4)+1)/((Jalons!$B$4:$B$103=Paramètres!$B$3)*(Jalons!$R$4:$R$103&lt;&gt;"")*(Jalons!$R$4:$R$103&lt;&gt;"OK")),24)),"")</f>
        <v/>
      </c>
      <c r="B36" s="14">
        <f>IF($A36="","",IFERROR(INDEX(Jalons!$E$4:$E$103,MATCH($A36,Jalons!$A$4:$A$103,0)),""))</f>
        <v/>
      </c>
      <c r="C36" s="14">
        <f>IF($A36="","",IFERROR(INDEX(Jalons!$G$4:$G$103,MATCH($A36,Jalons!$A$4:$A$103,0)),""))</f>
        <v/>
      </c>
      <c r="D36" s="15">
        <f>IF($A36="","",IFERROR(IF(INDEX(Jalons!$J$4:$J$103,MATCH($A36,Jalons!$A$4:$A$103,0))=0,"",INDEX(Jalons!$J$4:$J$103,MATCH($A36,Jalons!$A$4:$A$103,0))),""))</f>
        <v/>
      </c>
      <c r="E36" s="16">
        <f>IF($A36="","",IFERROR(INDEX(Jalons!$M$4:$M$103,MATCH($A36,Jalons!$A$4:$A$103,0)),""))</f>
        <v/>
      </c>
      <c r="F36" s="16">
        <f>IF($A36="","",IFERROR(INDEX(Jalons!$R$4:$R$103,MATCH($A36,Jalons!$A$4:$A$103,0)),""))</f>
        <v/>
      </c>
    </row>
    <row r="37" ht="24" customHeight="1">
      <c r="A37" s="11">
        <f>IFERROR(INDEX(Jalons!$A$4:$A$103,AGGREGATE(15,6,(ROW(Jalons!$A$4:$A$103)-ROW(Jalons!$A$4)+1)/((Jalons!$B$4:$B$103=Paramètres!$B$3)*(Jalons!$R$4:$R$103&lt;&gt;"")*(Jalons!$R$4:$R$103&lt;&gt;"OK")),25)),"")</f>
        <v/>
      </c>
      <c r="B37" s="11">
        <f>IF($A37="","",IFERROR(INDEX(Jalons!$E$4:$E$103,MATCH($A37,Jalons!$A$4:$A$103,0)),""))</f>
        <v/>
      </c>
      <c r="C37" s="11">
        <f>IF($A37="","",IFERROR(INDEX(Jalons!$G$4:$G$103,MATCH($A37,Jalons!$A$4:$A$103,0)),""))</f>
        <v/>
      </c>
      <c r="D37" s="12">
        <f>IF($A37="","",IFERROR(IF(INDEX(Jalons!$J$4:$J$103,MATCH($A37,Jalons!$A$4:$A$103,0))=0,"",INDEX(Jalons!$J$4:$J$103,MATCH($A37,Jalons!$A$4:$A$103,0))),""))</f>
        <v/>
      </c>
      <c r="E37" s="13">
        <f>IF($A37="","",IFERROR(INDEX(Jalons!$M$4:$M$103,MATCH($A37,Jalons!$A$4:$A$103,0)),""))</f>
        <v/>
      </c>
      <c r="F37" s="13">
        <f>IF($A37="","",IFERROR(INDEX(Jalons!$R$4:$R$103,MATCH($A37,Jalons!$A$4:$A$103,0)),""))</f>
        <v/>
      </c>
    </row>
    <row r="38" ht="24" customHeight="1">
      <c r="A38" s="14">
        <f>IFERROR(INDEX(Jalons!$A$4:$A$103,AGGREGATE(15,6,(ROW(Jalons!$A$4:$A$103)-ROW(Jalons!$A$4)+1)/((Jalons!$B$4:$B$103=Paramètres!$B$3)*(Jalons!$R$4:$R$103&lt;&gt;"")*(Jalons!$R$4:$R$103&lt;&gt;"OK")),26)),"")</f>
        <v/>
      </c>
      <c r="B38" s="14">
        <f>IF($A38="","",IFERROR(INDEX(Jalons!$E$4:$E$103,MATCH($A38,Jalons!$A$4:$A$103,0)),""))</f>
        <v/>
      </c>
      <c r="C38" s="14">
        <f>IF($A38="","",IFERROR(INDEX(Jalons!$G$4:$G$103,MATCH($A38,Jalons!$A$4:$A$103,0)),""))</f>
        <v/>
      </c>
      <c r="D38" s="15">
        <f>IF($A38="","",IFERROR(IF(INDEX(Jalons!$J$4:$J$103,MATCH($A38,Jalons!$A$4:$A$103,0))=0,"",INDEX(Jalons!$J$4:$J$103,MATCH($A38,Jalons!$A$4:$A$103,0))),""))</f>
        <v/>
      </c>
      <c r="E38" s="16">
        <f>IF($A38="","",IFERROR(INDEX(Jalons!$M$4:$M$103,MATCH($A38,Jalons!$A$4:$A$103,0)),""))</f>
        <v/>
      </c>
      <c r="F38" s="16">
        <f>IF($A38="","",IFERROR(INDEX(Jalons!$R$4:$R$103,MATCH($A38,Jalons!$A$4:$A$103,0)),""))</f>
        <v/>
      </c>
    </row>
    <row r="39" ht="24" customHeight="1">
      <c r="A39" s="11">
        <f>IFERROR(INDEX(Jalons!$A$4:$A$103,AGGREGATE(15,6,(ROW(Jalons!$A$4:$A$103)-ROW(Jalons!$A$4)+1)/((Jalons!$B$4:$B$103=Paramètres!$B$3)*(Jalons!$R$4:$R$103&lt;&gt;"")*(Jalons!$R$4:$R$103&lt;&gt;"OK")),27)),"")</f>
        <v/>
      </c>
      <c r="B39" s="11">
        <f>IF($A39="","",IFERROR(INDEX(Jalons!$E$4:$E$103,MATCH($A39,Jalons!$A$4:$A$103,0)),""))</f>
        <v/>
      </c>
      <c r="C39" s="11">
        <f>IF($A39="","",IFERROR(INDEX(Jalons!$G$4:$G$103,MATCH($A39,Jalons!$A$4:$A$103,0)),""))</f>
        <v/>
      </c>
      <c r="D39" s="12">
        <f>IF($A39="","",IFERROR(IF(INDEX(Jalons!$J$4:$J$103,MATCH($A39,Jalons!$A$4:$A$103,0))=0,"",INDEX(Jalons!$J$4:$J$103,MATCH($A39,Jalons!$A$4:$A$103,0))),""))</f>
        <v/>
      </c>
      <c r="E39" s="13">
        <f>IF($A39="","",IFERROR(INDEX(Jalons!$M$4:$M$103,MATCH($A39,Jalons!$A$4:$A$103,0)),""))</f>
        <v/>
      </c>
      <c r="F39" s="13">
        <f>IF($A39="","",IFERROR(INDEX(Jalons!$R$4:$R$103,MATCH($A39,Jalons!$A$4:$A$103,0)),""))</f>
        <v/>
      </c>
    </row>
    <row r="40" ht="24" customHeight="1">
      <c r="A40" s="14">
        <f>IFERROR(INDEX(Jalons!$A$4:$A$103,AGGREGATE(15,6,(ROW(Jalons!$A$4:$A$103)-ROW(Jalons!$A$4)+1)/((Jalons!$B$4:$B$103=Paramètres!$B$3)*(Jalons!$R$4:$R$103&lt;&gt;"")*(Jalons!$R$4:$R$103&lt;&gt;"OK")),28)),"")</f>
        <v/>
      </c>
      <c r="B40" s="14">
        <f>IF($A40="","",IFERROR(INDEX(Jalons!$E$4:$E$103,MATCH($A40,Jalons!$A$4:$A$103,0)),""))</f>
        <v/>
      </c>
      <c r="C40" s="14">
        <f>IF($A40="","",IFERROR(INDEX(Jalons!$G$4:$G$103,MATCH($A40,Jalons!$A$4:$A$103,0)),""))</f>
        <v/>
      </c>
      <c r="D40" s="15">
        <f>IF($A40="","",IFERROR(IF(INDEX(Jalons!$J$4:$J$103,MATCH($A40,Jalons!$A$4:$A$103,0))=0,"",INDEX(Jalons!$J$4:$J$103,MATCH($A40,Jalons!$A$4:$A$103,0))),""))</f>
        <v/>
      </c>
      <c r="E40" s="16">
        <f>IF($A40="","",IFERROR(INDEX(Jalons!$M$4:$M$103,MATCH($A40,Jalons!$A$4:$A$103,0)),""))</f>
        <v/>
      </c>
      <c r="F40" s="16">
        <f>IF($A40="","",IFERROR(INDEX(Jalons!$R$4:$R$103,MATCH($A40,Jalons!$A$4:$A$103,0)),""))</f>
        <v/>
      </c>
    </row>
    <row r="41" ht="24" customHeight="1">
      <c r="A41" s="11">
        <f>IFERROR(INDEX(Jalons!$A$4:$A$103,AGGREGATE(15,6,(ROW(Jalons!$A$4:$A$103)-ROW(Jalons!$A$4)+1)/((Jalons!$B$4:$B$103=Paramètres!$B$3)*(Jalons!$R$4:$R$103&lt;&gt;"")*(Jalons!$R$4:$R$103&lt;&gt;"OK")),29)),"")</f>
        <v/>
      </c>
      <c r="B41" s="11">
        <f>IF($A41="","",IFERROR(INDEX(Jalons!$E$4:$E$103,MATCH($A41,Jalons!$A$4:$A$103,0)),""))</f>
        <v/>
      </c>
      <c r="C41" s="11">
        <f>IF($A41="","",IFERROR(INDEX(Jalons!$G$4:$G$103,MATCH($A41,Jalons!$A$4:$A$103,0)),""))</f>
        <v/>
      </c>
      <c r="D41" s="12">
        <f>IF($A41="","",IFERROR(IF(INDEX(Jalons!$J$4:$J$103,MATCH($A41,Jalons!$A$4:$A$103,0))=0,"",INDEX(Jalons!$J$4:$J$103,MATCH($A41,Jalons!$A$4:$A$103,0))),""))</f>
        <v/>
      </c>
      <c r="E41" s="13">
        <f>IF($A41="","",IFERROR(INDEX(Jalons!$M$4:$M$103,MATCH($A41,Jalons!$A$4:$A$103,0)),""))</f>
        <v/>
      </c>
      <c r="F41" s="13">
        <f>IF($A41="","",IFERROR(INDEX(Jalons!$R$4:$R$103,MATCH($A41,Jalons!$A$4:$A$103,0)),""))</f>
        <v/>
      </c>
    </row>
    <row r="42" ht="24" customHeight="1">
      <c r="A42" s="14">
        <f>IFERROR(INDEX(Jalons!$A$4:$A$103,AGGREGATE(15,6,(ROW(Jalons!$A$4:$A$103)-ROW(Jalons!$A$4)+1)/((Jalons!$B$4:$B$103=Paramètres!$B$3)*(Jalons!$R$4:$R$103&lt;&gt;"")*(Jalons!$R$4:$R$103&lt;&gt;"OK")),30)),"")</f>
        <v/>
      </c>
      <c r="B42" s="14">
        <f>IF($A42="","",IFERROR(INDEX(Jalons!$E$4:$E$103,MATCH($A42,Jalons!$A$4:$A$103,0)),""))</f>
        <v/>
      </c>
      <c r="C42" s="14">
        <f>IF($A42="","",IFERROR(INDEX(Jalons!$G$4:$G$103,MATCH($A42,Jalons!$A$4:$A$103,0)),""))</f>
        <v/>
      </c>
      <c r="D42" s="15">
        <f>IF($A42="","",IFERROR(IF(INDEX(Jalons!$J$4:$J$103,MATCH($A42,Jalons!$A$4:$A$103,0))=0,"",INDEX(Jalons!$J$4:$J$103,MATCH($A42,Jalons!$A$4:$A$103,0))),""))</f>
        <v/>
      </c>
      <c r="E42" s="16">
        <f>IF($A42="","",IFERROR(INDEX(Jalons!$M$4:$M$103,MATCH($A42,Jalons!$A$4:$A$103,0)),""))</f>
        <v/>
      </c>
      <c r="F42" s="16">
        <f>IF($A42="","",IFERROR(INDEX(Jalons!$R$4:$R$103,MATCH($A42,Jalons!$A$4:$A$103,0)),""))</f>
        <v/>
      </c>
    </row>
    <row r="43" ht="24" customHeight="1">
      <c r="A43" s="11">
        <f>IFERROR(INDEX(Jalons!$A$4:$A$103,AGGREGATE(15,6,(ROW(Jalons!$A$4:$A$103)-ROW(Jalons!$A$4)+1)/((Jalons!$B$4:$B$103=Paramètres!$B$3)*(Jalons!$R$4:$R$103&lt;&gt;"")*(Jalons!$R$4:$R$103&lt;&gt;"OK")),31)),"")</f>
        <v/>
      </c>
      <c r="B43" s="11">
        <f>IF($A43="","",IFERROR(INDEX(Jalons!$E$4:$E$103,MATCH($A43,Jalons!$A$4:$A$103,0)),""))</f>
        <v/>
      </c>
      <c r="C43" s="11">
        <f>IF($A43="","",IFERROR(INDEX(Jalons!$G$4:$G$103,MATCH($A43,Jalons!$A$4:$A$103,0)),""))</f>
        <v/>
      </c>
      <c r="D43" s="12">
        <f>IF($A43="","",IFERROR(IF(INDEX(Jalons!$J$4:$J$103,MATCH($A43,Jalons!$A$4:$A$103,0))=0,"",INDEX(Jalons!$J$4:$J$103,MATCH($A43,Jalons!$A$4:$A$103,0))),""))</f>
        <v/>
      </c>
      <c r="E43" s="13">
        <f>IF($A43="","",IFERROR(INDEX(Jalons!$M$4:$M$103,MATCH($A43,Jalons!$A$4:$A$103,0)),""))</f>
        <v/>
      </c>
      <c r="F43" s="13">
        <f>IF($A43="","",IFERROR(INDEX(Jalons!$R$4:$R$103,MATCH($A43,Jalons!$A$4:$A$103,0)),""))</f>
        <v/>
      </c>
    </row>
    <row r="44" ht="24" customHeight="1">
      <c r="A44" s="14">
        <f>IFERROR(INDEX(Jalons!$A$4:$A$103,AGGREGATE(15,6,(ROW(Jalons!$A$4:$A$103)-ROW(Jalons!$A$4)+1)/((Jalons!$B$4:$B$103=Paramètres!$B$3)*(Jalons!$R$4:$R$103&lt;&gt;"")*(Jalons!$R$4:$R$103&lt;&gt;"OK")),32)),"")</f>
        <v/>
      </c>
      <c r="B44" s="14">
        <f>IF($A44="","",IFERROR(INDEX(Jalons!$E$4:$E$103,MATCH($A44,Jalons!$A$4:$A$103,0)),""))</f>
        <v/>
      </c>
      <c r="C44" s="14">
        <f>IF($A44="","",IFERROR(INDEX(Jalons!$G$4:$G$103,MATCH($A44,Jalons!$A$4:$A$103,0)),""))</f>
        <v/>
      </c>
      <c r="D44" s="15">
        <f>IF($A44="","",IFERROR(IF(INDEX(Jalons!$J$4:$J$103,MATCH($A44,Jalons!$A$4:$A$103,0))=0,"",INDEX(Jalons!$J$4:$J$103,MATCH($A44,Jalons!$A$4:$A$103,0))),""))</f>
        <v/>
      </c>
      <c r="E44" s="16">
        <f>IF($A44="","",IFERROR(INDEX(Jalons!$M$4:$M$103,MATCH($A44,Jalons!$A$4:$A$103,0)),""))</f>
        <v/>
      </c>
      <c r="F44" s="16">
        <f>IF($A44="","",IFERROR(INDEX(Jalons!$R$4:$R$103,MATCH($A44,Jalons!$A$4:$A$103,0)),""))</f>
        <v/>
      </c>
    </row>
    <row r="45" ht="24" customHeight="1">
      <c r="A45" s="11">
        <f>IFERROR(INDEX(Jalons!$A$4:$A$103,AGGREGATE(15,6,(ROW(Jalons!$A$4:$A$103)-ROW(Jalons!$A$4)+1)/((Jalons!$B$4:$B$103=Paramètres!$B$3)*(Jalons!$R$4:$R$103&lt;&gt;"")*(Jalons!$R$4:$R$103&lt;&gt;"OK")),33)),"")</f>
        <v/>
      </c>
      <c r="B45" s="11">
        <f>IF($A45="","",IFERROR(INDEX(Jalons!$E$4:$E$103,MATCH($A45,Jalons!$A$4:$A$103,0)),""))</f>
        <v/>
      </c>
      <c r="C45" s="11">
        <f>IF($A45="","",IFERROR(INDEX(Jalons!$G$4:$G$103,MATCH($A45,Jalons!$A$4:$A$103,0)),""))</f>
        <v/>
      </c>
      <c r="D45" s="12">
        <f>IF($A45="","",IFERROR(IF(INDEX(Jalons!$J$4:$J$103,MATCH($A45,Jalons!$A$4:$A$103,0))=0,"",INDEX(Jalons!$J$4:$J$103,MATCH($A45,Jalons!$A$4:$A$103,0))),""))</f>
        <v/>
      </c>
      <c r="E45" s="13">
        <f>IF($A45="","",IFERROR(INDEX(Jalons!$M$4:$M$103,MATCH($A45,Jalons!$A$4:$A$103,0)),""))</f>
        <v/>
      </c>
      <c r="F45" s="13">
        <f>IF($A45="","",IFERROR(INDEX(Jalons!$R$4:$R$103,MATCH($A45,Jalons!$A$4:$A$103,0)),""))</f>
        <v/>
      </c>
    </row>
    <row r="46" ht="24" customHeight="1">
      <c r="A46" s="14">
        <f>IFERROR(INDEX(Jalons!$A$4:$A$103,AGGREGATE(15,6,(ROW(Jalons!$A$4:$A$103)-ROW(Jalons!$A$4)+1)/((Jalons!$B$4:$B$103=Paramètres!$B$3)*(Jalons!$R$4:$R$103&lt;&gt;"")*(Jalons!$R$4:$R$103&lt;&gt;"OK")),34)),"")</f>
        <v/>
      </c>
      <c r="B46" s="14">
        <f>IF($A46="","",IFERROR(INDEX(Jalons!$E$4:$E$103,MATCH($A46,Jalons!$A$4:$A$103,0)),""))</f>
        <v/>
      </c>
      <c r="C46" s="14">
        <f>IF($A46="","",IFERROR(INDEX(Jalons!$G$4:$G$103,MATCH($A46,Jalons!$A$4:$A$103,0)),""))</f>
        <v/>
      </c>
      <c r="D46" s="15">
        <f>IF($A46="","",IFERROR(IF(INDEX(Jalons!$J$4:$J$103,MATCH($A46,Jalons!$A$4:$A$103,0))=0,"",INDEX(Jalons!$J$4:$J$103,MATCH($A46,Jalons!$A$4:$A$103,0))),""))</f>
        <v/>
      </c>
      <c r="E46" s="16">
        <f>IF($A46="","",IFERROR(INDEX(Jalons!$M$4:$M$103,MATCH($A46,Jalons!$A$4:$A$103,0)),""))</f>
        <v/>
      </c>
      <c r="F46" s="16">
        <f>IF($A46="","",IFERROR(INDEX(Jalons!$R$4:$R$103,MATCH($A46,Jalons!$A$4:$A$103,0)),""))</f>
        <v/>
      </c>
    </row>
    <row r="47" ht="24" customHeight="1">
      <c r="A47" s="11">
        <f>IFERROR(INDEX(Jalons!$A$4:$A$103,AGGREGATE(15,6,(ROW(Jalons!$A$4:$A$103)-ROW(Jalons!$A$4)+1)/((Jalons!$B$4:$B$103=Paramètres!$B$3)*(Jalons!$R$4:$R$103&lt;&gt;"")*(Jalons!$R$4:$R$103&lt;&gt;"OK")),35)),"")</f>
        <v/>
      </c>
      <c r="B47" s="11">
        <f>IF($A47="","",IFERROR(INDEX(Jalons!$E$4:$E$103,MATCH($A47,Jalons!$A$4:$A$103,0)),""))</f>
        <v/>
      </c>
      <c r="C47" s="11">
        <f>IF($A47="","",IFERROR(INDEX(Jalons!$G$4:$G$103,MATCH($A47,Jalons!$A$4:$A$103,0)),""))</f>
        <v/>
      </c>
      <c r="D47" s="12">
        <f>IF($A47="","",IFERROR(IF(INDEX(Jalons!$J$4:$J$103,MATCH($A47,Jalons!$A$4:$A$103,0))=0,"",INDEX(Jalons!$J$4:$J$103,MATCH($A47,Jalons!$A$4:$A$103,0))),""))</f>
        <v/>
      </c>
      <c r="E47" s="13">
        <f>IF($A47="","",IFERROR(INDEX(Jalons!$M$4:$M$103,MATCH($A47,Jalons!$A$4:$A$103,0)),""))</f>
        <v/>
      </c>
      <c r="F47" s="13">
        <f>IF($A47="","",IFERROR(INDEX(Jalons!$R$4:$R$103,MATCH($A47,Jalons!$A$4:$A$103,0)),""))</f>
        <v/>
      </c>
    </row>
    <row r="48" ht="24" customHeight="1">
      <c r="A48" s="14">
        <f>IFERROR(INDEX(Jalons!$A$4:$A$103,AGGREGATE(15,6,(ROW(Jalons!$A$4:$A$103)-ROW(Jalons!$A$4)+1)/((Jalons!$B$4:$B$103=Paramètres!$B$3)*(Jalons!$R$4:$R$103&lt;&gt;"")*(Jalons!$R$4:$R$103&lt;&gt;"OK")),36)),"")</f>
        <v/>
      </c>
      <c r="B48" s="14">
        <f>IF($A48="","",IFERROR(INDEX(Jalons!$E$4:$E$103,MATCH($A48,Jalons!$A$4:$A$103,0)),""))</f>
        <v/>
      </c>
      <c r="C48" s="14">
        <f>IF($A48="","",IFERROR(INDEX(Jalons!$G$4:$G$103,MATCH($A48,Jalons!$A$4:$A$103,0)),""))</f>
        <v/>
      </c>
      <c r="D48" s="15">
        <f>IF($A48="","",IFERROR(IF(INDEX(Jalons!$J$4:$J$103,MATCH($A48,Jalons!$A$4:$A$103,0))=0,"",INDEX(Jalons!$J$4:$J$103,MATCH($A48,Jalons!$A$4:$A$103,0))),""))</f>
        <v/>
      </c>
      <c r="E48" s="16">
        <f>IF($A48="","",IFERROR(INDEX(Jalons!$M$4:$M$103,MATCH($A48,Jalons!$A$4:$A$103,0)),""))</f>
        <v/>
      </c>
      <c r="F48" s="16">
        <f>IF($A48="","",IFERROR(INDEX(Jalons!$R$4:$R$103,MATCH($A48,Jalons!$A$4:$A$103,0)),""))</f>
        <v/>
      </c>
    </row>
    <row r="49" ht="24" customHeight="1">
      <c r="A49" s="11">
        <f>IFERROR(INDEX(Jalons!$A$4:$A$103,AGGREGATE(15,6,(ROW(Jalons!$A$4:$A$103)-ROW(Jalons!$A$4)+1)/((Jalons!$B$4:$B$103=Paramètres!$B$3)*(Jalons!$R$4:$R$103&lt;&gt;"")*(Jalons!$R$4:$R$103&lt;&gt;"OK")),37)),"")</f>
        <v/>
      </c>
      <c r="B49" s="11">
        <f>IF($A49="","",IFERROR(INDEX(Jalons!$E$4:$E$103,MATCH($A49,Jalons!$A$4:$A$103,0)),""))</f>
        <v/>
      </c>
      <c r="C49" s="11">
        <f>IF($A49="","",IFERROR(INDEX(Jalons!$G$4:$G$103,MATCH($A49,Jalons!$A$4:$A$103,0)),""))</f>
        <v/>
      </c>
      <c r="D49" s="12">
        <f>IF($A49="","",IFERROR(IF(INDEX(Jalons!$J$4:$J$103,MATCH($A49,Jalons!$A$4:$A$103,0))=0,"",INDEX(Jalons!$J$4:$J$103,MATCH($A49,Jalons!$A$4:$A$103,0))),""))</f>
        <v/>
      </c>
      <c r="E49" s="13">
        <f>IF($A49="","",IFERROR(INDEX(Jalons!$M$4:$M$103,MATCH($A49,Jalons!$A$4:$A$103,0)),""))</f>
        <v/>
      </c>
      <c r="F49" s="13">
        <f>IF($A49="","",IFERROR(INDEX(Jalons!$R$4:$R$103,MATCH($A49,Jalons!$A$4:$A$103,0)),""))</f>
        <v/>
      </c>
    </row>
    <row r="50" ht="24" customHeight="1">
      <c r="A50" s="14">
        <f>IFERROR(INDEX(Jalons!$A$4:$A$103,AGGREGATE(15,6,(ROW(Jalons!$A$4:$A$103)-ROW(Jalons!$A$4)+1)/((Jalons!$B$4:$B$103=Paramètres!$B$3)*(Jalons!$R$4:$R$103&lt;&gt;"")*(Jalons!$R$4:$R$103&lt;&gt;"OK")),38)),"")</f>
        <v/>
      </c>
      <c r="B50" s="14">
        <f>IF($A50="","",IFERROR(INDEX(Jalons!$E$4:$E$103,MATCH($A50,Jalons!$A$4:$A$103,0)),""))</f>
        <v/>
      </c>
      <c r="C50" s="14">
        <f>IF($A50="","",IFERROR(INDEX(Jalons!$G$4:$G$103,MATCH($A50,Jalons!$A$4:$A$103,0)),""))</f>
        <v/>
      </c>
      <c r="D50" s="15">
        <f>IF($A50="","",IFERROR(IF(INDEX(Jalons!$J$4:$J$103,MATCH($A50,Jalons!$A$4:$A$103,0))=0,"",INDEX(Jalons!$J$4:$J$103,MATCH($A50,Jalons!$A$4:$A$103,0))),""))</f>
        <v/>
      </c>
      <c r="E50" s="16">
        <f>IF($A50="","",IFERROR(INDEX(Jalons!$M$4:$M$103,MATCH($A50,Jalons!$A$4:$A$103,0)),""))</f>
        <v/>
      </c>
      <c r="F50" s="16">
        <f>IF($A50="","",IFERROR(INDEX(Jalons!$R$4:$R$103,MATCH($A50,Jalons!$A$4:$A$103,0)),""))</f>
        <v/>
      </c>
    </row>
    <row r="51" ht="24" customHeight="1">
      <c r="A51" s="11">
        <f>IFERROR(INDEX(Jalons!$A$4:$A$103,AGGREGATE(15,6,(ROW(Jalons!$A$4:$A$103)-ROW(Jalons!$A$4)+1)/((Jalons!$B$4:$B$103=Paramètres!$B$3)*(Jalons!$R$4:$R$103&lt;&gt;"")*(Jalons!$R$4:$R$103&lt;&gt;"OK")),39)),"")</f>
        <v/>
      </c>
      <c r="B51" s="11">
        <f>IF($A51="","",IFERROR(INDEX(Jalons!$E$4:$E$103,MATCH($A51,Jalons!$A$4:$A$103,0)),""))</f>
        <v/>
      </c>
      <c r="C51" s="11">
        <f>IF($A51="","",IFERROR(INDEX(Jalons!$G$4:$G$103,MATCH($A51,Jalons!$A$4:$A$103,0)),""))</f>
        <v/>
      </c>
      <c r="D51" s="12">
        <f>IF($A51="","",IFERROR(IF(INDEX(Jalons!$J$4:$J$103,MATCH($A51,Jalons!$A$4:$A$103,0))=0,"",INDEX(Jalons!$J$4:$J$103,MATCH($A51,Jalons!$A$4:$A$103,0))),""))</f>
        <v/>
      </c>
      <c r="E51" s="13">
        <f>IF($A51="","",IFERROR(INDEX(Jalons!$M$4:$M$103,MATCH($A51,Jalons!$A$4:$A$103,0)),""))</f>
        <v/>
      </c>
      <c r="F51" s="13">
        <f>IF($A51="","",IFERROR(INDEX(Jalons!$R$4:$R$103,MATCH($A51,Jalons!$A$4:$A$103,0)),""))</f>
        <v/>
      </c>
    </row>
    <row r="52" ht="24" customHeight="1">
      <c r="A52" s="14">
        <f>IFERROR(INDEX(Jalons!$A$4:$A$103,AGGREGATE(15,6,(ROW(Jalons!$A$4:$A$103)-ROW(Jalons!$A$4)+1)/((Jalons!$B$4:$B$103=Paramètres!$B$3)*(Jalons!$R$4:$R$103&lt;&gt;"")*(Jalons!$R$4:$R$103&lt;&gt;"OK")),40)),"")</f>
        <v/>
      </c>
      <c r="B52" s="14">
        <f>IF($A52="","",IFERROR(INDEX(Jalons!$E$4:$E$103,MATCH($A52,Jalons!$A$4:$A$103,0)),""))</f>
        <v/>
      </c>
      <c r="C52" s="14">
        <f>IF($A52="","",IFERROR(INDEX(Jalons!$G$4:$G$103,MATCH($A52,Jalons!$A$4:$A$103,0)),""))</f>
        <v/>
      </c>
      <c r="D52" s="15">
        <f>IF($A52="","",IFERROR(IF(INDEX(Jalons!$J$4:$J$103,MATCH($A52,Jalons!$A$4:$A$103,0))=0,"",INDEX(Jalons!$J$4:$J$103,MATCH($A52,Jalons!$A$4:$A$103,0))),""))</f>
        <v/>
      </c>
      <c r="E52" s="16">
        <f>IF($A52="","",IFERROR(INDEX(Jalons!$M$4:$M$103,MATCH($A52,Jalons!$A$4:$A$103,0)),""))</f>
        <v/>
      </c>
      <c r="F52" s="16">
        <f>IF($A52="","",IFERROR(INDEX(Jalons!$R$4:$R$103,MATCH($A52,Jalons!$A$4:$A$103,0)),""))</f>
        <v/>
      </c>
    </row>
    <row r="53" ht="24" customHeight="1">
      <c r="A53" s="11">
        <f>IFERROR(INDEX(Jalons!$A$4:$A$103,AGGREGATE(15,6,(ROW(Jalons!$A$4:$A$103)-ROW(Jalons!$A$4)+1)/((Jalons!$B$4:$B$103=Paramètres!$B$3)*(Jalons!$R$4:$R$103&lt;&gt;"")*(Jalons!$R$4:$R$103&lt;&gt;"OK")),41)),"")</f>
        <v/>
      </c>
      <c r="B53" s="11">
        <f>IF($A53="","",IFERROR(INDEX(Jalons!$E$4:$E$103,MATCH($A53,Jalons!$A$4:$A$103,0)),""))</f>
        <v/>
      </c>
      <c r="C53" s="11">
        <f>IF($A53="","",IFERROR(INDEX(Jalons!$G$4:$G$103,MATCH($A53,Jalons!$A$4:$A$103,0)),""))</f>
        <v/>
      </c>
      <c r="D53" s="12">
        <f>IF($A53="","",IFERROR(IF(INDEX(Jalons!$J$4:$J$103,MATCH($A53,Jalons!$A$4:$A$103,0))=0,"",INDEX(Jalons!$J$4:$J$103,MATCH($A53,Jalons!$A$4:$A$103,0))),""))</f>
        <v/>
      </c>
      <c r="E53" s="13">
        <f>IF($A53="","",IFERROR(INDEX(Jalons!$M$4:$M$103,MATCH($A53,Jalons!$A$4:$A$103,0)),""))</f>
        <v/>
      </c>
      <c r="F53" s="13">
        <f>IF($A53="","",IFERROR(INDEX(Jalons!$R$4:$R$103,MATCH($A53,Jalons!$A$4:$A$103,0)),""))</f>
        <v/>
      </c>
    </row>
    <row r="54" ht="24" customHeight="1">
      <c r="A54" s="14">
        <f>IFERROR(INDEX(Jalons!$A$4:$A$103,AGGREGATE(15,6,(ROW(Jalons!$A$4:$A$103)-ROW(Jalons!$A$4)+1)/((Jalons!$B$4:$B$103=Paramètres!$B$3)*(Jalons!$R$4:$R$103&lt;&gt;"")*(Jalons!$R$4:$R$103&lt;&gt;"OK")),42)),"")</f>
        <v/>
      </c>
      <c r="B54" s="14">
        <f>IF($A54="","",IFERROR(INDEX(Jalons!$E$4:$E$103,MATCH($A54,Jalons!$A$4:$A$103,0)),""))</f>
        <v/>
      </c>
      <c r="C54" s="14">
        <f>IF($A54="","",IFERROR(INDEX(Jalons!$G$4:$G$103,MATCH($A54,Jalons!$A$4:$A$103,0)),""))</f>
        <v/>
      </c>
      <c r="D54" s="15">
        <f>IF($A54="","",IFERROR(IF(INDEX(Jalons!$J$4:$J$103,MATCH($A54,Jalons!$A$4:$A$103,0))=0,"",INDEX(Jalons!$J$4:$J$103,MATCH($A54,Jalons!$A$4:$A$103,0))),""))</f>
        <v/>
      </c>
      <c r="E54" s="16">
        <f>IF($A54="","",IFERROR(INDEX(Jalons!$M$4:$M$103,MATCH($A54,Jalons!$A$4:$A$103,0)),""))</f>
        <v/>
      </c>
      <c r="F54" s="16">
        <f>IF($A54="","",IFERROR(INDEX(Jalons!$R$4:$R$103,MATCH($A54,Jalons!$A$4:$A$103,0)),""))</f>
        <v/>
      </c>
    </row>
    <row r="55" ht="24" customHeight="1">
      <c r="A55" s="11">
        <f>IFERROR(INDEX(Jalons!$A$4:$A$103,AGGREGATE(15,6,(ROW(Jalons!$A$4:$A$103)-ROW(Jalons!$A$4)+1)/((Jalons!$B$4:$B$103=Paramètres!$B$3)*(Jalons!$R$4:$R$103&lt;&gt;"")*(Jalons!$R$4:$R$103&lt;&gt;"OK")),43)),"")</f>
        <v/>
      </c>
      <c r="B55" s="11">
        <f>IF($A55="","",IFERROR(INDEX(Jalons!$E$4:$E$103,MATCH($A55,Jalons!$A$4:$A$103,0)),""))</f>
        <v/>
      </c>
      <c r="C55" s="11">
        <f>IF($A55="","",IFERROR(INDEX(Jalons!$G$4:$G$103,MATCH($A55,Jalons!$A$4:$A$103,0)),""))</f>
        <v/>
      </c>
      <c r="D55" s="12">
        <f>IF($A55="","",IFERROR(IF(INDEX(Jalons!$J$4:$J$103,MATCH($A55,Jalons!$A$4:$A$103,0))=0,"",INDEX(Jalons!$J$4:$J$103,MATCH($A55,Jalons!$A$4:$A$103,0))),""))</f>
        <v/>
      </c>
      <c r="E55" s="13">
        <f>IF($A55="","",IFERROR(INDEX(Jalons!$M$4:$M$103,MATCH($A55,Jalons!$A$4:$A$103,0)),""))</f>
        <v/>
      </c>
      <c r="F55" s="13">
        <f>IF($A55="","",IFERROR(INDEX(Jalons!$R$4:$R$103,MATCH($A55,Jalons!$A$4:$A$103,0)),""))</f>
        <v/>
      </c>
    </row>
    <row r="56" ht="24" customHeight="1">
      <c r="A56" s="14">
        <f>IFERROR(INDEX(Jalons!$A$4:$A$103,AGGREGATE(15,6,(ROW(Jalons!$A$4:$A$103)-ROW(Jalons!$A$4)+1)/((Jalons!$B$4:$B$103=Paramètres!$B$3)*(Jalons!$R$4:$R$103&lt;&gt;"")*(Jalons!$R$4:$R$103&lt;&gt;"OK")),44)),"")</f>
        <v/>
      </c>
      <c r="B56" s="14">
        <f>IF($A56="","",IFERROR(INDEX(Jalons!$E$4:$E$103,MATCH($A56,Jalons!$A$4:$A$103,0)),""))</f>
        <v/>
      </c>
      <c r="C56" s="14">
        <f>IF($A56="","",IFERROR(INDEX(Jalons!$G$4:$G$103,MATCH($A56,Jalons!$A$4:$A$103,0)),""))</f>
        <v/>
      </c>
      <c r="D56" s="15">
        <f>IF($A56="","",IFERROR(IF(INDEX(Jalons!$J$4:$J$103,MATCH($A56,Jalons!$A$4:$A$103,0))=0,"",INDEX(Jalons!$J$4:$J$103,MATCH($A56,Jalons!$A$4:$A$103,0))),""))</f>
        <v/>
      </c>
      <c r="E56" s="16">
        <f>IF($A56="","",IFERROR(INDEX(Jalons!$M$4:$M$103,MATCH($A56,Jalons!$A$4:$A$103,0)),""))</f>
        <v/>
      </c>
      <c r="F56" s="16">
        <f>IF($A56="","",IFERROR(INDEX(Jalons!$R$4:$R$103,MATCH($A56,Jalons!$A$4:$A$103,0)),""))</f>
        <v/>
      </c>
    </row>
    <row r="57" ht="24" customHeight="1">
      <c r="A57" s="11">
        <f>IFERROR(INDEX(Jalons!$A$4:$A$103,AGGREGATE(15,6,(ROW(Jalons!$A$4:$A$103)-ROW(Jalons!$A$4)+1)/((Jalons!$B$4:$B$103=Paramètres!$B$3)*(Jalons!$R$4:$R$103&lt;&gt;"")*(Jalons!$R$4:$R$103&lt;&gt;"OK")),45)),"")</f>
        <v/>
      </c>
      <c r="B57" s="11">
        <f>IF($A57="","",IFERROR(INDEX(Jalons!$E$4:$E$103,MATCH($A57,Jalons!$A$4:$A$103,0)),""))</f>
        <v/>
      </c>
      <c r="C57" s="11">
        <f>IF($A57="","",IFERROR(INDEX(Jalons!$G$4:$G$103,MATCH($A57,Jalons!$A$4:$A$103,0)),""))</f>
        <v/>
      </c>
      <c r="D57" s="12">
        <f>IF($A57="","",IFERROR(IF(INDEX(Jalons!$J$4:$J$103,MATCH($A57,Jalons!$A$4:$A$103,0))=0,"",INDEX(Jalons!$J$4:$J$103,MATCH($A57,Jalons!$A$4:$A$103,0))),""))</f>
        <v/>
      </c>
      <c r="E57" s="13">
        <f>IF($A57="","",IFERROR(INDEX(Jalons!$M$4:$M$103,MATCH($A57,Jalons!$A$4:$A$103,0)),""))</f>
        <v/>
      </c>
      <c r="F57" s="13">
        <f>IF($A57="","",IFERROR(INDEX(Jalons!$R$4:$R$103,MATCH($A57,Jalons!$A$4:$A$103,0)),""))</f>
        <v/>
      </c>
    </row>
    <row r="58" ht="24" customHeight="1">
      <c r="A58" s="14">
        <f>IFERROR(INDEX(Jalons!$A$4:$A$103,AGGREGATE(15,6,(ROW(Jalons!$A$4:$A$103)-ROW(Jalons!$A$4)+1)/((Jalons!$B$4:$B$103=Paramètres!$B$3)*(Jalons!$R$4:$R$103&lt;&gt;"")*(Jalons!$R$4:$R$103&lt;&gt;"OK")),46)),"")</f>
        <v/>
      </c>
      <c r="B58" s="14">
        <f>IF($A58="","",IFERROR(INDEX(Jalons!$E$4:$E$103,MATCH($A58,Jalons!$A$4:$A$103,0)),""))</f>
        <v/>
      </c>
      <c r="C58" s="14">
        <f>IF($A58="","",IFERROR(INDEX(Jalons!$G$4:$G$103,MATCH($A58,Jalons!$A$4:$A$103,0)),""))</f>
        <v/>
      </c>
      <c r="D58" s="15">
        <f>IF($A58="","",IFERROR(IF(INDEX(Jalons!$J$4:$J$103,MATCH($A58,Jalons!$A$4:$A$103,0))=0,"",INDEX(Jalons!$J$4:$J$103,MATCH($A58,Jalons!$A$4:$A$103,0))),""))</f>
        <v/>
      </c>
      <c r="E58" s="16">
        <f>IF($A58="","",IFERROR(INDEX(Jalons!$M$4:$M$103,MATCH($A58,Jalons!$A$4:$A$103,0)),""))</f>
        <v/>
      </c>
      <c r="F58" s="16">
        <f>IF($A58="","",IFERROR(INDEX(Jalons!$R$4:$R$103,MATCH($A58,Jalons!$A$4:$A$103,0)),""))</f>
        <v/>
      </c>
    </row>
    <row r="59" ht="24" customHeight="1">
      <c r="A59" s="11">
        <f>IFERROR(INDEX(Jalons!$A$4:$A$103,AGGREGATE(15,6,(ROW(Jalons!$A$4:$A$103)-ROW(Jalons!$A$4)+1)/((Jalons!$B$4:$B$103=Paramètres!$B$3)*(Jalons!$R$4:$R$103&lt;&gt;"")*(Jalons!$R$4:$R$103&lt;&gt;"OK")),47)),"")</f>
        <v/>
      </c>
      <c r="B59" s="11">
        <f>IF($A59="","",IFERROR(INDEX(Jalons!$E$4:$E$103,MATCH($A59,Jalons!$A$4:$A$103,0)),""))</f>
        <v/>
      </c>
      <c r="C59" s="11">
        <f>IF($A59="","",IFERROR(INDEX(Jalons!$G$4:$G$103,MATCH($A59,Jalons!$A$4:$A$103,0)),""))</f>
        <v/>
      </c>
      <c r="D59" s="12">
        <f>IF($A59="","",IFERROR(IF(INDEX(Jalons!$J$4:$J$103,MATCH($A59,Jalons!$A$4:$A$103,0))=0,"",INDEX(Jalons!$J$4:$J$103,MATCH($A59,Jalons!$A$4:$A$103,0))),""))</f>
        <v/>
      </c>
      <c r="E59" s="13">
        <f>IF($A59="","",IFERROR(INDEX(Jalons!$M$4:$M$103,MATCH($A59,Jalons!$A$4:$A$103,0)),""))</f>
        <v/>
      </c>
      <c r="F59" s="13">
        <f>IF($A59="","",IFERROR(INDEX(Jalons!$R$4:$R$103,MATCH($A59,Jalons!$A$4:$A$103,0)),""))</f>
        <v/>
      </c>
    </row>
    <row r="60" ht="24" customHeight="1">
      <c r="A60" s="14">
        <f>IFERROR(INDEX(Jalons!$A$4:$A$103,AGGREGATE(15,6,(ROW(Jalons!$A$4:$A$103)-ROW(Jalons!$A$4)+1)/((Jalons!$B$4:$B$103=Paramètres!$B$3)*(Jalons!$R$4:$R$103&lt;&gt;"")*(Jalons!$R$4:$R$103&lt;&gt;"OK")),48)),"")</f>
        <v/>
      </c>
      <c r="B60" s="14">
        <f>IF($A60="","",IFERROR(INDEX(Jalons!$E$4:$E$103,MATCH($A60,Jalons!$A$4:$A$103,0)),""))</f>
        <v/>
      </c>
      <c r="C60" s="14">
        <f>IF($A60="","",IFERROR(INDEX(Jalons!$G$4:$G$103,MATCH($A60,Jalons!$A$4:$A$103,0)),""))</f>
        <v/>
      </c>
      <c r="D60" s="15">
        <f>IF($A60="","",IFERROR(IF(INDEX(Jalons!$J$4:$J$103,MATCH($A60,Jalons!$A$4:$A$103,0))=0,"",INDEX(Jalons!$J$4:$J$103,MATCH($A60,Jalons!$A$4:$A$103,0))),""))</f>
        <v/>
      </c>
      <c r="E60" s="16">
        <f>IF($A60="","",IFERROR(INDEX(Jalons!$M$4:$M$103,MATCH($A60,Jalons!$A$4:$A$103,0)),""))</f>
        <v/>
      </c>
      <c r="F60" s="16">
        <f>IF($A60="","",IFERROR(INDEX(Jalons!$R$4:$R$103,MATCH($A60,Jalons!$A$4:$A$103,0)),""))</f>
        <v/>
      </c>
    </row>
    <row r="61" ht="24" customHeight="1">
      <c r="A61" s="11">
        <f>IFERROR(INDEX(Jalons!$A$4:$A$103,AGGREGATE(15,6,(ROW(Jalons!$A$4:$A$103)-ROW(Jalons!$A$4)+1)/((Jalons!$B$4:$B$103=Paramètres!$B$3)*(Jalons!$R$4:$R$103&lt;&gt;"")*(Jalons!$R$4:$R$103&lt;&gt;"OK")),49)),"")</f>
        <v/>
      </c>
      <c r="B61" s="11">
        <f>IF($A61="","",IFERROR(INDEX(Jalons!$E$4:$E$103,MATCH($A61,Jalons!$A$4:$A$103,0)),""))</f>
        <v/>
      </c>
      <c r="C61" s="11">
        <f>IF($A61="","",IFERROR(INDEX(Jalons!$G$4:$G$103,MATCH($A61,Jalons!$A$4:$A$103,0)),""))</f>
        <v/>
      </c>
      <c r="D61" s="12">
        <f>IF($A61="","",IFERROR(IF(INDEX(Jalons!$J$4:$J$103,MATCH($A61,Jalons!$A$4:$A$103,0))=0,"",INDEX(Jalons!$J$4:$J$103,MATCH($A61,Jalons!$A$4:$A$103,0))),""))</f>
        <v/>
      </c>
      <c r="E61" s="13">
        <f>IF($A61="","",IFERROR(INDEX(Jalons!$M$4:$M$103,MATCH($A61,Jalons!$A$4:$A$103,0)),""))</f>
        <v/>
      </c>
      <c r="F61" s="13">
        <f>IF($A61="","",IFERROR(INDEX(Jalons!$R$4:$R$103,MATCH($A61,Jalons!$A$4:$A$103,0)),""))</f>
        <v/>
      </c>
    </row>
    <row r="62" ht="24" customHeight="1">
      <c r="A62" s="14">
        <f>IFERROR(INDEX(Jalons!$A$4:$A$103,AGGREGATE(15,6,(ROW(Jalons!$A$4:$A$103)-ROW(Jalons!$A$4)+1)/((Jalons!$B$4:$B$103=Paramètres!$B$3)*(Jalons!$R$4:$R$103&lt;&gt;"")*(Jalons!$R$4:$R$103&lt;&gt;"OK")),50)),"")</f>
        <v/>
      </c>
      <c r="B62" s="14">
        <f>IF($A62="","",IFERROR(INDEX(Jalons!$E$4:$E$103,MATCH($A62,Jalons!$A$4:$A$103,0)),""))</f>
        <v/>
      </c>
      <c r="C62" s="14">
        <f>IF($A62="","",IFERROR(INDEX(Jalons!$G$4:$G$103,MATCH($A62,Jalons!$A$4:$A$103,0)),""))</f>
        <v/>
      </c>
      <c r="D62" s="15">
        <f>IF($A62="","",IFERROR(IF(INDEX(Jalons!$J$4:$J$103,MATCH($A62,Jalons!$A$4:$A$103,0))=0,"",INDEX(Jalons!$J$4:$J$103,MATCH($A62,Jalons!$A$4:$A$103,0))),""))</f>
        <v/>
      </c>
      <c r="E62" s="16">
        <f>IF($A62="","",IFERROR(INDEX(Jalons!$M$4:$M$103,MATCH($A62,Jalons!$A$4:$A$103,0)),""))</f>
        <v/>
      </c>
      <c r="F62" s="16">
        <f>IF($A62="","",IFERROR(INDEX(Jalons!$R$4:$R$103,MATCH($A62,Jalons!$A$4:$A$103,0)),""))</f>
        <v/>
      </c>
    </row>
    <row r="63" ht="24" customHeight="1">
      <c r="A63" s="11">
        <f>IFERROR(INDEX(Jalons!$A$4:$A$103,AGGREGATE(15,6,(ROW(Jalons!$A$4:$A$103)-ROW(Jalons!$A$4)+1)/((Jalons!$B$4:$B$103=Paramètres!$B$3)*(Jalons!$R$4:$R$103&lt;&gt;"")*(Jalons!$R$4:$R$103&lt;&gt;"OK")),51)),"")</f>
        <v/>
      </c>
      <c r="B63" s="11">
        <f>IF($A63="","",IFERROR(INDEX(Jalons!$E$4:$E$103,MATCH($A63,Jalons!$A$4:$A$103,0)),""))</f>
        <v/>
      </c>
      <c r="C63" s="11">
        <f>IF($A63="","",IFERROR(INDEX(Jalons!$G$4:$G$103,MATCH($A63,Jalons!$A$4:$A$103,0)),""))</f>
        <v/>
      </c>
      <c r="D63" s="12">
        <f>IF($A63="","",IFERROR(IF(INDEX(Jalons!$J$4:$J$103,MATCH($A63,Jalons!$A$4:$A$103,0))=0,"",INDEX(Jalons!$J$4:$J$103,MATCH($A63,Jalons!$A$4:$A$103,0))),""))</f>
        <v/>
      </c>
      <c r="E63" s="13">
        <f>IF($A63="","",IFERROR(INDEX(Jalons!$M$4:$M$103,MATCH($A63,Jalons!$A$4:$A$103,0)),""))</f>
        <v/>
      </c>
      <c r="F63" s="13">
        <f>IF($A63="","",IFERROR(INDEX(Jalons!$R$4:$R$103,MATCH($A63,Jalons!$A$4:$A$103,0)),""))</f>
        <v/>
      </c>
    </row>
    <row r="64" ht="24" customHeight="1">
      <c r="A64" s="14">
        <f>IFERROR(INDEX(Jalons!$A$4:$A$103,AGGREGATE(15,6,(ROW(Jalons!$A$4:$A$103)-ROW(Jalons!$A$4)+1)/((Jalons!$B$4:$B$103=Paramètres!$B$3)*(Jalons!$R$4:$R$103&lt;&gt;"")*(Jalons!$R$4:$R$103&lt;&gt;"OK")),52)),"")</f>
        <v/>
      </c>
      <c r="B64" s="14">
        <f>IF($A64="","",IFERROR(INDEX(Jalons!$E$4:$E$103,MATCH($A64,Jalons!$A$4:$A$103,0)),""))</f>
        <v/>
      </c>
      <c r="C64" s="14">
        <f>IF($A64="","",IFERROR(INDEX(Jalons!$G$4:$G$103,MATCH($A64,Jalons!$A$4:$A$103,0)),""))</f>
        <v/>
      </c>
      <c r="D64" s="15">
        <f>IF($A64="","",IFERROR(IF(INDEX(Jalons!$J$4:$J$103,MATCH($A64,Jalons!$A$4:$A$103,0))=0,"",INDEX(Jalons!$J$4:$J$103,MATCH($A64,Jalons!$A$4:$A$103,0))),""))</f>
        <v/>
      </c>
      <c r="E64" s="16">
        <f>IF($A64="","",IFERROR(INDEX(Jalons!$M$4:$M$103,MATCH($A64,Jalons!$A$4:$A$103,0)),""))</f>
        <v/>
      </c>
      <c r="F64" s="16">
        <f>IF($A64="","",IFERROR(INDEX(Jalons!$R$4:$R$103,MATCH($A64,Jalons!$A$4:$A$103,0)),""))</f>
        <v/>
      </c>
    </row>
    <row r="65" ht="24" customHeight="1">
      <c r="A65" s="11">
        <f>IFERROR(INDEX(Jalons!$A$4:$A$103,AGGREGATE(15,6,(ROW(Jalons!$A$4:$A$103)-ROW(Jalons!$A$4)+1)/((Jalons!$B$4:$B$103=Paramètres!$B$3)*(Jalons!$R$4:$R$103&lt;&gt;"")*(Jalons!$R$4:$R$103&lt;&gt;"OK")),53)),"")</f>
        <v/>
      </c>
      <c r="B65" s="11">
        <f>IF($A65="","",IFERROR(INDEX(Jalons!$E$4:$E$103,MATCH($A65,Jalons!$A$4:$A$103,0)),""))</f>
        <v/>
      </c>
      <c r="C65" s="11">
        <f>IF($A65="","",IFERROR(INDEX(Jalons!$G$4:$G$103,MATCH($A65,Jalons!$A$4:$A$103,0)),""))</f>
        <v/>
      </c>
      <c r="D65" s="12">
        <f>IF($A65="","",IFERROR(IF(INDEX(Jalons!$J$4:$J$103,MATCH($A65,Jalons!$A$4:$A$103,0))=0,"",INDEX(Jalons!$J$4:$J$103,MATCH($A65,Jalons!$A$4:$A$103,0))),""))</f>
        <v/>
      </c>
      <c r="E65" s="13">
        <f>IF($A65="","",IFERROR(INDEX(Jalons!$M$4:$M$103,MATCH($A65,Jalons!$A$4:$A$103,0)),""))</f>
        <v/>
      </c>
      <c r="F65" s="13">
        <f>IF($A65="","",IFERROR(INDEX(Jalons!$R$4:$R$103,MATCH($A65,Jalons!$A$4:$A$103,0)),""))</f>
        <v/>
      </c>
    </row>
    <row r="66" ht="24" customHeight="1">
      <c r="A66" s="14">
        <f>IFERROR(INDEX(Jalons!$A$4:$A$103,AGGREGATE(15,6,(ROW(Jalons!$A$4:$A$103)-ROW(Jalons!$A$4)+1)/((Jalons!$B$4:$B$103=Paramètres!$B$3)*(Jalons!$R$4:$R$103&lt;&gt;"")*(Jalons!$R$4:$R$103&lt;&gt;"OK")),54)),"")</f>
        <v/>
      </c>
      <c r="B66" s="14">
        <f>IF($A66="","",IFERROR(INDEX(Jalons!$E$4:$E$103,MATCH($A66,Jalons!$A$4:$A$103,0)),""))</f>
        <v/>
      </c>
      <c r="C66" s="14">
        <f>IF($A66="","",IFERROR(INDEX(Jalons!$G$4:$G$103,MATCH($A66,Jalons!$A$4:$A$103,0)),""))</f>
        <v/>
      </c>
      <c r="D66" s="15">
        <f>IF($A66="","",IFERROR(IF(INDEX(Jalons!$J$4:$J$103,MATCH($A66,Jalons!$A$4:$A$103,0))=0,"",INDEX(Jalons!$J$4:$J$103,MATCH($A66,Jalons!$A$4:$A$103,0))),""))</f>
        <v/>
      </c>
      <c r="E66" s="16">
        <f>IF($A66="","",IFERROR(INDEX(Jalons!$M$4:$M$103,MATCH($A66,Jalons!$A$4:$A$103,0)),""))</f>
        <v/>
      </c>
      <c r="F66" s="16">
        <f>IF($A66="","",IFERROR(INDEX(Jalons!$R$4:$R$103,MATCH($A66,Jalons!$A$4:$A$103,0)),""))</f>
        <v/>
      </c>
    </row>
    <row r="67" ht="24" customHeight="1">
      <c r="A67" s="11">
        <f>IFERROR(INDEX(Jalons!$A$4:$A$103,AGGREGATE(15,6,(ROW(Jalons!$A$4:$A$103)-ROW(Jalons!$A$4)+1)/((Jalons!$B$4:$B$103=Paramètres!$B$3)*(Jalons!$R$4:$R$103&lt;&gt;"")*(Jalons!$R$4:$R$103&lt;&gt;"OK")),55)),"")</f>
        <v/>
      </c>
      <c r="B67" s="11">
        <f>IF($A67="","",IFERROR(INDEX(Jalons!$E$4:$E$103,MATCH($A67,Jalons!$A$4:$A$103,0)),""))</f>
        <v/>
      </c>
      <c r="C67" s="11">
        <f>IF($A67="","",IFERROR(INDEX(Jalons!$G$4:$G$103,MATCH($A67,Jalons!$A$4:$A$103,0)),""))</f>
        <v/>
      </c>
      <c r="D67" s="12">
        <f>IF($A67="","",IFERROR(IF(INDEX(Jalons!$J$4:$J$103,MATCH($A67,Jalons!$A$4:$A$103,0))=0,"",INDEX(Jalons!$J$4:$J$103,MATCH($A67,Jalons!$A$4:$A$103,0))),""))</f>
        <v/>
      </c>
      <c r="E67" s="13">
        <f>IF($A67="","",IFERROR(INDEX(Jalons!$M$4:$M$103,MATCH($A67,Jalons!$A$4:$A$103,0)),""))</f>
        <v/>
      </c>
      <c r="F67" s="13">
        <f>IF($A67="","",IFERROR(INDEX(Jalons!$R$4:$R$103,MATCH($A67,Jalons!$A$4:$A$103,0)),""))</f>
        <v/>
      </c>
    </row>
    <row r="68" ht="24" customHeight="1">
      <c r="A68" s="14">
        <f>IFERROR(INDEX(Jalons!$A$4:$A$103,AGGREGATE(15,6,(ROW(Jalons!$A$4:$A$103)-ROW(Jalons!$A$4)+1)/((Jalons!$B$4:$B$103=Paramètres!$B$3)*(Jalons!$R$4:$R$103&lt;&gt;"")*(Jalons!$R$4:$R$103&lt;&gt;"OK")),56)),"")</f>
        <v/>
      </c>
      <c r="B68" s="14">
        <f>IF($A68="","",IFERROR(INDEX(Jalons!$E$4:$E$103,MATCH($A68,Jalons!$A$4:$A$103,0)),""))</f>
        <v/>
      </c>
      <c r="C68" s="14">
        <f>IF($A68="","",IFERROR(INDEX(Jalons!$G$4:$G$103,MATCH($A68,Jalons!$A$4:$A$103,0)),""))</f>
        <v/>
      </c>
      <c r="D68" s="15">
        <f>IF($A68="","",IFERROR(IF(INDEX(Jalons!$J$4:$J$103,MATCH($A68,Jalons!$A$4:$A$103,0))=0,"",INDEX(Jalons!$J$4:$J$103,MATCH($A68,Jalons!$A$4:$A$103,0))),""))</f>
        <v/>
      </c>
      <c r="E68" s="16">
        <f>IF($A68="","",IFERROR(INDEX(Jalons!$M$4:$M$103,MATCH($A68,Jalons!$A$4:$A$103,0)),""))</f>
        <v/>
      </c>
      <c r="F68" s="16">
        <f>IF($A68="","",IFERROR(INDEX(Jalons!$R$4:$R$103,MATCH($A68,Jalons!$A$4:$A$103,0)),""))</f>
        <v/>
      </c>
    </row>
    <row r="69" ht="24" customHeight="1">
      <c r="A69" s="11">
        <f>IFERROR(INDEX(Jalons!$A$4:$A$103,AGGREGATE(15,6,(ROW(Jalons!$A$4:$A$103)-ROW(Jalons!$A$4)+1)/((Jalons!$B$4:$B$103=Paramètres!$B$3)*(Jalons!$R$4:$R$103&lt;&gt;"")*(Jalons!$R$4:$R$103&lt;&gt;"OK")),57)),"")</f>
        <v/>
      </c>
      <c r="B69" s="11">
        <f>IF($A69="","",IFERROR(INDEX(Jalons!$E$4:$E$103,MATCH($A69,Jalons!$A$4:$A$103,0)),""))</f>
        <v/>
      </c>
      <c r="C69" s="11">
        <f>IF($A69="","",IFERROR(INDEX(Jalons!$G$4:$G$103,MATCH($A69,Jalons!$A$4:$A$103,0)),""))</f>
        <v/>
      </c>
      <c r="D69" s="12">
        <f>IF($A69="","",IFERROR(IF(INDEX(Jalons!$J$4:$J$103,MATCH($A69,Jalons!$A$4:$A$103,0))=0,"",INDEX(Jalons!$J$4:$J$103,MATCH($A69,Jalons!$A$4:$A$103,0))),""))</f>
        <v/>
      </c>
      <c r="E69" s="13">
        <f>IF($A69="","",IFERROR(INDEX(Jalons!$M$4:$M$103,MATCH($A69,Jalons!$A$4:$A$103,0)),""))</f>
        <v/>
      </c>
      <c r="F69" s="13">
        <f>IF($A69="","",IFERROR(INDEX(Jalons!$R$4:$R$103,MATCH($A69,Jalons!$A$4:$A$103,0)),""))</f>
        <v/>
      </c>
    </row>
    <row r="70" ht="24" customHeight="1">
      <c r="A70" s="14">
        <f>IFERROR(INDEX(Jalons!$A$4:$A$103,AGGREGATE(15,6,(ROW(Jalons!$A$4:$A$103)-ROW(Jalons!$A$4)+1)/((Jalons!$B$4:$B$103=Paramètres!$B$3)*(Jalons!$R$4:$R$103&lt;&gt;"")*(Jalons!$R$4:$R$103&lt;&gt;"OK")),58)),"")</f>
        <v/>
      </c>
      <c r="B70" s="14">
        <f>IF($A70="","",IFERROR(INDEX(Jalons!$E$4:$E$103,MATCH($A70,Jalons!$A$4:$A$103,0)),""))</f>
        <v/>
      </c>
      <c r="C70" s="14">
        <f>IF($A70="","",IFERROR(INDEX(Jalons!$G$4:$G$103,MATCH($A70,Jalons!$A$4:$A$103,0)),""))</f>
        <v/>
      </c>
      <c r="D70" s="15">
        <f>IF($A70="","",IFERROR(IF(INDEX(Jalons!$J$4:$J$103,MATCH($A70,Jalons!$A$4:$A$103,0))=0,"",INDEX(Jalons!$J$4:$J$103,MATCH($A70,Jalons!$A$4:$A$103,0))),""))</f>
        <v/>
      </c>
      <c r="E70" s="16">
        <f>IF($A70="","",IFERROR(INDEX(Jalons!$M$4:$M$103,MATCH($A70,Jalons!$A$4:$A$103,0)),""))</f>
        <v/>
      </c>
      <c r="F70" s="16">
        <f>IF($A70="","",IFERROR(INDEX(Jalons!$R$4:$R$103,MATCH($A70,Jalons!$A$4:$A$103,0)),""))</f>
        <v/>
      </c>
    </row>
    <row r="71" ht="24" customHeight="1">
      <c r="A71" s="11">
        <f>IFERROR(INDEX(Jalons!$A$4:$A$103,AGGREGATE(15,6,(ROW(Jalons!$A$4:$A$103)-ROW(Jalons!$A$4)+1)/((Jalons!$B$4:$B$103=Paramètres!$B$3)*(Jalons!$R$4:$R$103&lt;&gt;"")*(Jalons!$R$4:$R$103&lt;&gt;"OK")),59)),"")</f>
        <v/>
      </c>
      <c r="B71" s="11">
        <f>IF($A71="","",IFERROR(INDEX(Jalons!$E$4:$E$103,MATCH($A71,Jalons!$A$4:$A$103,0)),""))</f>
        <v/>
      </c>
      <c r="C71" s="11">
        <f>IF($A71="","",IFERROR(INDEX(Jalons!$G$4:$G$103,MATCH($A71,Jalons!$A$4:$A$103,0)),""))</f>
        <v/>
      </c>
      <c r="D71" s="12">
        <f>IF($A71="","",IFERROR(IF(INDEX(Jalons!$J$4:$J$103,MATCH($A71,Jalons!$A$4:$A$103,0))=0,"",INDEX(Jalons!$J$4:$J$103,MATCH($A71,Jalons!$A$4:$A$103,0))),""))</f>
        <v/>
      </c>
      <c r="E71" s="13">
        <f>IF($A71="","",IFERROR(INDEX(Jalons!$M$4:$M$103,MATCH($A71,Jalons!$A$4:$A$103,0)),""))</f>
        <v/>
      </c>
      <c r="F71" s="13">
        <f>IF($A71="","",IFERROR(INDEX(Jalons!$R$4:$R$103,MATCH($A71,Jalons!$A$4:$A$103,0)),""))</f>
        <v/>
      </c>
    </row>
    <row r="72" ht="24" customHeight="1">
      <c r="A72" s="14">
        <f>IFERROR(INDEX(Jalons!$A$4:$A$103,AGGREGATE(15,6,(ROW(Jalons!$A$4:$A$103)-ROW(Jalons!$A$4)+1)/((Jalons!$B$4:$B$103=Paramètres!$B$3)*(Jalons!$R$4:$R$103&lt;&gt;"")*(Jalons!$R$4:$R$103&lt;&gt;"OK")),60)),"")</f>
        <v/>
      </c>
      <c r="B72" s="14">
        <f>IF($A72="","",IFERROR(INDEX(Jalons!$E$4:$E$103,MATCH($A72,Jalons!$A$4:$A$103,0)),""))</f>
        <v/>
      </c>
      <c r="C72" s="14">
        <f>IF($A72="","",IFERROR(INDEX(Jalons!$G$4:$G$103,MATCH($A72,Jalons!$A$4:$A$103,0)),""))</f>
        <v/>
      </c>
      <c r="D72" s="15">
        <f>IF($A72="","",IFERROR(IF(INDEX(Jalons!$J$4:$J$103,MATCH($A72,Jalons!$A$4:$A$103,0))=0,"",INDEX(Jalons!$J$4:$J$103,MATCH($A72,Jalons!$A$4:$A$103,0))),""))</f>
        <v/>
      </c>
      <c r="E72" s="16">
        <f>IF($A72="","",IFERROR(INDEX(Jalons!$M$4:$M$103,MATCH($A72,Jalons!$A$4:$A$103,0)),""))</f>
        <v/>
      </c>
      <c r="F72" s="16">
        <f>IF($A72="","",IFERROR(INDEX(Jalons!$R$4:$R$103,MATCH($A72,Jalons!$A$4:$A$103,0)),""))</f>
        <v/>
      </c>
    </row>
    <row r="73" ht="24" customHeight="1">
      <c r="A73" s="11">
        <f>IFERROR(INDEX(Jalons!$A$4:$A$103,AGGREGATE(15,6,(ROW(Jalons!$A$4:$A$103)-ROW(Jalons!$A$4)+1)/((Jalons!$B$4:$B$103=Paramètres!$B$3)*(Jalons!$R$4:$R$103&lt;&gt;"")*(Jalons!$R$4:$R$103&lt;&gt;"OK")),61)),"")</f>
        <v/>
      </c>
      <c r="B73" s="11">
        <f>IF($A73="","",IFERROR(INDEX(Jalons!$E$4:$E$103,MATCH($A73,Jalons!$A$4:$A$103,0)),""))</f>
        <v/>
      </c>
      <c r="C73" s="11">
        <f>IF($A73="","",IFERROR(INDEX(Jalons!$G$4:$G$103,MATCH($A73,Jalons!$A$4:$A$103,0)),""))</f>
        <v/>
      </c>
      <c r="D73" s="12">
        <f>IF($A73="","",IFERROR(IF(INDEX(Jalons!$J$4:$J$103,MATCH($A73,Jalons!$A$4:$A$103,0))=0,"",INDEX(Jalons!$J$4:$J$103,MATCH($A73,Jalons!$A$4:$A$103,0))),""))</f>
        <v/>
      </c>
      <c r="E73" s="13">
        <f>IF($A73="","",IFERROR(INDEX(Jalons!$M$4:$M$103,MATCH($A73,Jalons!$A$4:$A$103,0)),""))</f>
        <v/>
      </c>
      <c r="F73" s="13">
        <f>IF($A73="","",IFERROR(INDEX(Jalons!$R$4:$R$103,MATCH($A73,Jalons!$A$4:$A$103,0)),""))</f>
        <v/>
      </c>
    </row>
    <row r="74" ht="24" customHeight="1">
      <c r="A74" s="14">
        <f>IFERROR(INDEX(Jalons!$A$4:$A$103,AGGREGATE(15,6,(ROW(Jalons!$A$4:$A$103)-ROW(Jalons!$A$4)+1)/((Jalons!$B$4:$B$103=Paramètres!$B$3)*(Jalons!$R$4:$R$103&lt;&gt;"")*(Jalons!$R$4:$R$103&lt;&gt;"OK")),62)),"")</f>
        <v/>
      </c>
      <c r="B74" s="14">
        <f>IF($A74="","",IFERROR(INDEX(Jalons!$E$4:$E$103,MATCH($A74,Jalons!$A$4:$A$103,0)),""))</f>
        <v/>
      </c>
      <c r="C74" s="14">
        <f>IF($A74="","",IFERROR(INDEX(Jalons!$G$4:$G$103,MATCH($A74,Jalons!$A$4:$A$103,0)),""))</f>
        <v/>
      </c>
      <c r="D74" s="15">
        <f>IF($A74="","",IFERROR(IF(INDEX(Jalons!$J$4:$J$103,MATCH($A74,Jalons!$A$4:$A$103,0))=0,"",INDEX(Jalons!$J$4:$J$103,MATCH($A74,Jalons!$A$4:$A$103,0))),""))</f>
        <v/>
      </c>
      <c r="E74" s="16">
        <f>IF($A74="","",IFERROR(INDEX(Jalons!$M$4:$M$103,MATCH($A74,Jalons!$A$4:$A$103,0)),""))</f>
        <v/>
      </c>
      <c r="F74" s="16">
        <f>IF($A74="","",IFERROR(INDEX(Jalons!$R$4:$R$103,MATCH($A74,Jalons!$A$4:$A$103,0)),""))</f>
        <v/>
      </c>
    </row>
    <row r="75" ht="24" customHeight="1">
      <c r="A75" s="11">
        <f>IFERROR(INDEX(Jalons!$A$4:$A$103,AGGREGATE(15,6,(ROW(Jalons!$A$4:$A$103)-ROW(Jalons!$A$4)+1)/((Jalons!$B$4:$B$103=Paramètres!$B$3)*(Jalons!$R$4:$R$103&lt;&gt;"")*(Jalons!$R$4:$R$103&lt;&gt;"OK")),63)),"")</f>
        <v/>
      </c>
      <c r="B75" s="11">
        <f>IF($A75="","",IFERROR(INDEX(Jalons!$E$4:$E$103,MATCH($A75,Jalons!$A$4:$A$103,0)),""))</f>
        <v/>
      </c>
      <c r="C75" s="11">
        <f>IF($A75="","",IFERROR(INDEX(Jalons!$G$4:$G$103,MATCH($A75,Jalons!$A$4:$A$103,0)),""))</f>
        <v/>
      </c>
      <c r="D75" s="12">
        <f>IF($A75="","",IFERROR(IF(INDEX(Jalons!$J$4:$J$103,MATCH($A75,Jalons!$A$4:$A$103,0))=0,"",INDEX(Jalons!$J$4:$J$103,MATCH($A75,Jalons!$A$4:$A$103,0))),""))</f>
        <v/>
      </c>
      <c r="E75" s="13">
        <f>IF($A75="","",IFERROR(INDEX(Jalons!$M$4:$M$103,MATCH($A75,Jalons!$A$4:$A$103,0)),""))</f>
        <v/>
      </c>
      <c r="F75" s="13">
        <f>IF($A75="","",IFERROR(INDEX(Jalons!$R$4:$R$103,MATCH($A75,Jalons!$A$4:$A$103,0)),""))</f>
        <v/>
      </c>
    </row>
    <row r="76" ht="24" customHeight="1">
      <c r="A76" s="14">
        <f>IFERROR(INDEX(Jalons!$A$4:$A$103,AGGREGATE(15,6,(ROW(Jalons!$A$4:$A$103)-ROW(Jalons!$A$4)+1)/((Jalons!$B$4:$B$103=Paramètres!$B$3)*(Jalons!$R$4:$R$103&lt;&gt;"")*(Jalons!$R$4:$R$103&lt;&gt;"OK")),64)),"")</f>
        <v/>
      </c>
      <c r="B76" s="14">
        <f>IF($A76="","",IFERROR(INDEX(Jalons!$E$4:$E$103,MATCH($A76,Jalons!$A$4:$A$103,0)),""))</f>
        <v/>
      </c>
      <c r="C76" s="14">
        <f>IF($A76="","",IFERROR(INDEX(Jalons!$G$4:$G$103,MATCH($A76,Jalons!$A$4:$A$103,0)),""))</f>
        <v/>
      </c>
      <c r="D76" s="15">
        <f>IF($A76="","",IFERROR(IF(INDEX(Jalons!$J$4:$J$103,MATCH($A76,Jalons!$A$4:$A$103,0))=0,"",INDEX(Jalons!$J$4:$J$103,MATCH($A76,Jalons!$A$4:$A$103,0))),""))</f>
        <v/>
      </c>
      <c r="E76" s="16">
        <f>IF($A76="","",IFERROR(INDEX(Jalons!$M$4:$M$103,MATCH($A76,Jalons!$A$4:$A$103,0)),""))</f>
        <v/>
      </c>
      <c r="F76" s="16">
        <f>IF($A76="","",IFERROR(INDEX(Jalons!$R$4:$R$103,MATCH($A76,Jalons!$A$4:$A$103,0)),""))</f>
        <v/>
      </c>
    </row>
    <row r="77" ht="24" customHeight="1">
      <c r="A77" s="11">
        <f>IFERROR(INDEX(Jalons!$A$4:$A$103,AGGREGATE(15,6,(ROW(Jalons!$A$4:$A$103)-ROW(Jalons!$A$4)+1)/((Jalons!$B$4:$B$103=Paramètres!$B$3)*(Jalons!$R$4:$R$103&lt;&gt;"")*(Jalons!$R$4:$R$103&lt;&gt;"OK")),65)),"")</f>
        <v/>
      </c>
      <c r="B77" s="11">
        <f>IF($A77="","",IFERROR(INDEX(Jalons!$E$4:$E$103,MATCH($A77,Jalons!$A$4:$A$103,0)),""))</f>
        <v/>
      </c>
      <c r="C77" s="11">
        <f>IF($A77="","",IFERROR(INDEX(Jalons!$G$4:$G$103,MATCH($A77,Jalons!$A$4:$A$103,0)),""))</f>
        <v/>
      </c>
      <c r="D77" s="12">
        <f>IF($A77="","",IFERROR(IF(INDEX(Jalons!$J$4:$J$103,MATCH($A77,Jalons!$A$4:$A$103,0))=0,"",INDEX(Jalons!$J$4:$J$103,MATCH($A77,Jalons!$A$4:$A$103,0))),""))</f>
        <v/>
      </c>
      <c r="E77" s="13">
        <f>IF($A77="","",IFERROR(INDEX(Jalons!$M$4:$M$103,MATCH($A77,Jalons!$A$4:$A$103,0)),""))</f>
        <v/>
      </c>
      <c r="F77" s="13">
        <f>IF($A77="","",IFERROR(INDEX(Jalons!$R$4:$R$103,MATCH($A77,Jalons!$A$4:$A$103,0)),""))</f>
        <v/>
      </c>
    </row>
    <row r="78" ht="24" customHeight="1">
      <c r="A78" s="14">
        <f>IFERROR(INDEX(Jalons!$A$4:$A$103,AGGREGATE(15,6,(ROW(Jalons!$A$4:$A$103)-ROW(Jalons!$A$4)+1)/((Jalons!$B$4:$B$103=Paramètres!$B$3)*(Jalons!$R$4:$R$103&lt;&gt;"")*(Jalons!$R$4:$R$103&lt;&gt;"OK")),66)),"")</f>
        <v/>
      </c>
      <c r="B78" s="14">
        <f>IF($A78="","",IFERROR(INDEX(Jalons!$E$4:$E$103,MATCH($A78,Jalons!$A$4:$A$103,0)),""))</f>
        <v/>
      </c>
      <c r="C78" s="14">
        <f>IF($A78="","",IFERROR(INDEX(Jalons!$G$4:$G$103,MATCH($A78,Jalons!$A$4:$A$103,0)),""))</f>
        <v/>
      </c>
      <c r="D78" s="15">
        <f>IF($A78="","",IFERROR(IF(INDEX(Jalons!$J$4:$J$103,MATCH($A78,Jalons!$A$4:$A$103,0))=0,"",INDEX(Jalons!$J$4:$J$103,MATCH($A78,Jalons!$A$4:$A$103,0))),""))</f>
        <v/>
      </c>
      <c r="E78" s="16">
        <f>IF($A78="","",IFERROR(INDEX(Jalons!$M$4:$M$103,MATCH($A78,Jalons!$A$4:$A$103,0)),""))</f>
        <v/>
      </c>
      <c r="F78" s="16">
        <f>IF($A78="","",IFERROR(INDEX(Jalons!$R$4:$R$103,MATCH($A78,Jalons!$A$4:$A$103,0)),""))</f>
        <v/>
      </c>
    </row>
    <row r="79" ht="24" customHeight="1">
      <c r="A79" s="11">
        <f>IFERROR(INDEX(Jalons!$A$4:$A$103,AGGREGATE(15,6,(ROW(Jalons!$A$4:$A$103)-ROW(Jalons!$A$4)+1)/((Jalons!$B$4:$B$103=Paramètres!$B$3)*(Jalons!$R$4:$R$103&lt;&gt;"")*(Jalons!$R$4:$R$103&lt;&gt;"OK")),67)),"")</f>
        <v/>
      </c>
      <c r="B79" s="11">
        <f>IF($A79="","",IFERROR(INDEX(Jalons!$E$4:$E$103,MATCH($A79,Jalons!$A$4:$A$103,0)),""))</f>
        <v/>
      </c>
      <c r="C79" s="11">
        <f>IF($A79="","",IFERROR(INDEX(Jalons!$G$4:$G$103,MATCH($A79,Jalons!$A$4:$A$103,0)),""))</f>
        <v/>
      </c>
      <c r="D79" s="12">
        <f>IF($A79="","",IFERROR(IF(INDEX(Jalons!$J$4:$J$103,MATCH($A79,Jalons!$A$4:$A$103,0))=0,"",INDEX(Jalons!$J$4:$J$103,MATCH($A79,Jalons!$A$4:$A$103,0))),""))</f>
        <v/>
      </c>
      <c r="E79" s="13">
        <f>IF($A79="","",IFERROR(INDEX(Jalons!$M$4:$M$103,MATCH($A79,Jalons!$A$4:$A$103,0)),""))</f>
        <v/>
      </c>
      <c r="F79" s="13">
        <f>IF($A79="","",IFERROR(INDEX(Jalons!$R$4:$R$103,MATCH($A79,Jalons!$A$4:$A$103,0)),""))</f>
        <v/>
      </c>
    </row>
    <row r="80" ht="24" customHeight="1">
      <c r="A80" s="14">
        <f>IFERROR(INDEX(Jalons!$A$4:$A$103,AGGREGATE(15,6,(ROW(Jalons!$A$4:$A$103)-ROW(Jalons!$A$4)+1)/((Jalons!$B$4:$B$103=Paramètres!$B$3)*(Jalons!$R$4:$R$103&lt;&gt;"")*(Jalons!$R$4:$R$103&lt;&gt;"OK")),68)),"")</f>
        <v/>
      </c>
      <c r="B80" s="14">
        <f>IF($A80="","",IFERROR(INDEX(Jalons!$E$4:$E$103,MATCH($A80,Jalons!$A$4:$A$103,0)),""))</f>
        <v/>
      </c>
      <c r="C80" s="14">
        <f>IF($A80="","",IFERROR(INDEX(Jalons!$G$4:$G$103,MATCH($A80,Jalons!$A$4:$A$103,0)),""))</f>
        <v/>
      </c>
      <c r="D80" s="15">
        <f>IF($A80="","",IFERROR(IF(INDEX(Jalons!$J$4:$J$103,MATCH($A80,Jalons!$A$4:$A$103,0))=0,"",INDEX(Jalons!$J$4:$J$103,MATCH($A80,Jalons!$A$4:$A$103,0))),""))</f>
        <v/>
      </c>
      <c r="E80" s="16">
        <f>IF($A80="","",IFERROR(INDEX(Jalons!$M$4:$M$103,MATCH($A80,Jalons!$A$4:$A$103,0)),""))</f>
        <v/>
      </c>
      <c r="F80" s="16">
        <f>IF($A80="","",IFERROR(INDEX(Jalons!$R$4:$R$103,MATCH($A80,Jalons!$A$4:$A$103,0)),""))</f>
        <v/>
      </c>
    </row>
    <row r="81" ht="24" customHeight="1">
      <c r="A81" s="11">
        <f>IFERROR(INDEX(Jalons!$A$4:$A$103,AGGREGATE(15,6,(ROW(Jalons!$A$4:$A$103)-ROW(Jalons!$A$4)+1)/((Jalons!$B$4:$B$103=Paramètres!$B$3)*(Jalons!$R$4:$R$103&lt;&gt;"")*(Jalons!$R$4:$R$103&lt;&gt;"OK")),69)),"")</f>
        <v/>
      </c>
      <c r="B81" s="11">
        <f>IF($A81="","",IFERROR(INDEX(Jalons!$E$4:$E$103,MATCH($A81,Jalons!$A$4:$A$103,0)),""))</f>
        <v/>
      </c>
      <c r="C81" s="11">
        <f>IF($A81="","",IFERROR(INDEX(Jalons!$G$4:$G$103,MATCH($A81,Jalons!$A$4:$A$103,0)),""))</f>
        <v/>
      </c>
      <c r="D81" s="12">
        <f>IF($A81="","",IFERROR(IF(INDEX(Jalons!$J$4:$J$103,MATCH($A81,Jalons!$A$4:$A$103,0))=0,"",INDEX(Jalons!$J$4:$J$103,MATCH($A81,Jalons!$A$4:$A$103,0))),""))</f>
        <v/>
      </c>
      <c r="E81" s="13">
        <f>IF($A81="","",IFERROR(INDEX(Jalons!$M$4:$M$103,MATCH($A81,Jalons!$A$4:$A$103,0)),""))</f>
        <v/>
      </c>
      <c r="F81" s="13">
        <f>IF($A81="","",IFERROR(INDEX(Jalons!$R$4:$R$103,MATCH($A81,Jalons!$A$4:$A$103,0)),""))</f>
        <v/>
      </c>
    </row>
    <row r="82" ht="24" customHeight="1">
      <c r="A82" s="14">
        <f>IFERROR(INDEX(Jalons!$A$4:$A$103,AGGREGATE(15,6,(ROW(Jalons!$A$4:$A$103)-ROW(Jalons!$A$4)+1)/((Jalons!$B$4:$B$103=Paramètres!$B$3)*(Jalons!$R$4:$R$103&lt;&gt;"")*(Jalons!$R$4:$R$103&lt;&gt;"OK")),70)),"")</f>
        <v/>
      </c>
      <c r="B82" s="14">
        <f>IF($A82="","",IFERROR(INDEX(Jalons!$E$4:$E$103,MATCH($A82,Jalons!$A$4:$A$103,0)),""))</f>
        <v/>
      </c>
      <c r="C82" s="14">
        <f>IF($A82="","",IFERROR(INDEX(Jalons!$G$4:$G$103,MATCH($A82,Jalons!$A$4:$A$103,0)),""))</f>
        <v/>
      </c>
      <c r="D82" s="15">
        <f>IF($A82="","",IFERROR(IF(INDEX(Jalons!$J$4:$J$103,MATCH($A82,Jalons!$A$4:$A$103,0))=0,"",INDEX(Jalons!$J$4:$J$103,MATCH($A82,Jalons!$A$4:$A$103,0))),""))</f>
        <v/>
      </c>
      <c r="E82" s="16">
        <f>IF($A82="","",IFERROR(INDEX(Jalons!$M$4:$M$103,MATCH($A82,Jalons!$A$4:$A$103,0)),""))</f>
        <v/>
      </c>
      <c r="F82" s="16">
        <f>IF($A82="","",IFERROR(INDEX(Jalons!$R$4:$R$103,MATCH($A82,Jalons!$A$4:$A$103,0)),""))</f>
        <v/>
      </c>
    </row>
    <row r="83" ht="24" customHeight="1">
      <c r="A83" s="11">
        <f>IFERROR(INDEX(Jalons!$A$4:$A$103,AGGREGATE(15,6,(ROW(Jalons!$A$4:$A$103)-ROW(Jalons!$A$4)+1)/((Jalons!$B$4:$B$103=Paramètres!$B$3)*(Jalons!$R$4:$R$103&lt;&gt;"")*(Jalons!$R$4:$R$103&lt;&gt;"OK")),71)),"")</f>
        <v/>
      </c>
      <c r="B83" s="11">
        <f>IF($A83="","",IFERROR(INDEX(Jalons!$E$4:$E$103,MATCH($A83,Jalons!$A$4:$A$103,0)),""))</f>
        <v/>
      </c>
      <c r="C83" s="11">
        <f>IF($A83="","",IFERROR(INDEX(Jalons!$G$4:$G$103,MATCH($A83,Jalons!$A$4:$A$103,0)),""))</f>
        <v/>
      </c>
      <c r="D83" s="12">
        <f>IF($A83="","",IFERROR(IF(INDEX(Jalons!$J$4:$J$103,MATCH($A83,Jalons!$A$4:$A$103,0))=0,"",INDEX(Jalons!$J$4:$J$103,MATCH($A83,Jalons!$A$4:$A$103,0))),""))</f>
        <v/>
      </c>
      <c r="E83" s="13">
        <f>IF($A83="","",IFERROR(INDEX(Jalons!$M$4:$M$103,MATCH($A83,Jalons!$A$4:$A$103,0)),""))</f>
        <v/>
      </c>
      <c r="F83" s="13">
        <f>IF($A83="","",IFERROR(INDEX(Jalons!$R$4:$R$103,MATCH($A83,Jalons!$A$4:$A$103,0)),""))</f>
        <v/>
      </c>
    </row>
    <row r="84" ht="24" customHeight="1">
      <c r="A84" s="14">
        <f>IFERROR(INDEX(Jalons!$A$4:$A$103,AGGREGATE(15,6,(ROW(Jalons!$A$4:$A$103)-ROW(Jalons!$A$4)+1)/((Jalons!$B$4:$B$103=Paramètres!$B$3)*(Jalons!$R$4:$R$103&lt;&gt;"")*(Jalons!$R$4:$R$103&lt;&gt;"OK")),72)),"")</f>
        <v/>
      </c>
      <c r="B84" s="14">
        <f>IF($A84="","",IFERROR(INDEX(Jalons!$E$4:$E$103,MATCH($A84,Jalons!$A$4:$A$103,0)),""))</f>
        <v/>
      </c>
      <c r="C84" s="14">
        <f>IF($A84="","",IFERROR(INDEX(Jalons!$G$4:$G$103,MATCH($A84,Jalons!$A$4:$A$103,0)),""))</f>
        <v/>
      </c>
      <c r="D84" s="15">
        <f>IF($A84="","",IFERROR(IF(INDEX(Jalons!$J$4:$J$103,MATCH($A84,Jalons!$A$4:$A$103,0))=0,"",INDEX(Jalons!$J$4:$J$103,MATCH($A84,Jalons!$A$4:$A$103,0))),""))</f>
        <v/>
      </c>
      <c r="E84" s="16">
        <f>IF($A84="","",IFERROR(INDEX(Jalons!$M$4:$M$103,MATCH($A84,Jalons!$A$4:$A$103,0)),""))</f>
        <v/>
      </c>
      <c r="F84" s="16">
        <f>IF($A84="","",IFERROR(INDEX(Jalons!$R$4:$R$103,MATCH($A84,Jalons!$A$4:$A$103,0)),""))</f>
        <v/>
      </c>
    </row>
    <row r="85" ht="24" customHeight="1">
      <c r="A85" s="11">
        <f>IFERROR(INDEX(Jalons!$A$4:$A$103,AGGREGATE(15,6,(ROW(Jalons!$A$4:$A$103)-ROW(Jalons!$A$4)+1)/((Jalons!$B$4:$B$103=Paramètres!$B$3)*(Jalons!$R$4:$R$103&lt;&gt;"")*(Jalons!$R$4:$R$103&lt;&gt;"OK")),73)),"")</f>
        <v/>
      </c>
      <c r="B85" s="11">
        <f>IF($A85="","",IFERROR(INDEX(Jalons!$E$4:$E$103,MATCH($A85,Jalons!$A$4:$A$103,0)),""))</f>
        <v/>
      </c>
      <c r="C85" s="11">
        <f>IF($A85="","",IFERROR(INDEX(Jalons!$G$4:$G$103,MATCH($A85,Jalons!$A$4:$A$103,0)),""))</f>
        <v/>
      </c>
      <c r="D85" s="12">
        <f>IF($A85="","",IFERROR(IF(INDEX(Jalons!$J$4:$J$103,MATCH($A85,Jalons!$A$4:$A$103,0))=0,"",INDEX(Jalons!$J$4:$J$103,MATCH($A85,Jalons!$A$4:$A$103,0))),""))</f>
        <v/>
      </c>
      <c r="E85" s="13">
        <f>IF($A85="","",IFERROR(INDEX(Jalons!$M$4:$M$103,MATCH($A85,Jalons!$A$4:$A$103,0)),""))</f>
        <v/>
      </c>
      <c r="F85" s="13">
        <f>IF($A85="","",IFERROR(INDEX(Jalons!$R$4:$R$103,MATCH($A85,Jalons!$A$4:$A$103,0)),""))</f>
        <v/>
      </c>
    </row>
    <row r="86" ht="24" customHeight="1">
      <c r="A86" s="14">
        <f>IFERROR(INDEX(Jalons!$A$4:$A$103,AGGREGATE(15,6,(ROW(Jalons!$A$4:$A$103)-ROW(Jalons!$A$4)+1)/((Jalons!$B$4:$B$103=Paramètres!$B$3)*(Jalons!$R$4:$R$103&lt;&gt;"")*(Jalons!$R$4:$R$103&lt;&gt;"OK")),74)),"")</f>
        <v/>
      </c>
      <c r="B86" s="14">
        <f>IF($A86="","",IFERROR(INDEX(Jalons!$E$4:$E$103,MATCH($A86,Jalons!$A$4:$A$103,0)),""))</f>
        <v/>
      </c>
      <c r="C86" s="14">
        <f>IF($A86="","",IFERROR(INDEX(Jalons!$G$4:$G$103,MATCH($A86,Jalons!$A$4:$A$103,0)),""))</f>
        <v/>
      </c>
      <c r="D86" s="15">
        <f>IF($A86="","",IFERROR(IF(INDEX(Jalons!$J$4:$J$103,MATCH($A86,Jalons!$A$4:$A$103,0))=0,"",INDEX(Jalons!$J$4:$J$103,MATCH($A86,Jalons!$A$4:$A$103,0))),""))</f>
        <v/>
      </c>
      <c r="E86" s="16">
        <f>IF($A86="","",IFERROR(INDEX(Jalons!$M$4:$M$103,MATCH($A86,Jalons!$A$4:$A$103,0)),""))</f>
        <v/>
      </c>
      <c r="F86" s="16">
        <f>IF($A86="","",IFERROR(INDEX(Jalons!$R$4:$R$103,MATCH($A86,Jalons!$A$4:$A$103,0)),""))</f>
        <v/>
      </c>
    </row>
    <row r="87" ht="24" customHeight="1">
      <c r="A87" s="11">
        <f>IFERROR(INDEX(Jalons!$A$4:$A$103,AGGREGATE(15,6,(ROW(Jalons!$A$4:$A$103)-ROW(Jalons!$A$4)+1)/((Jalons!$B$4:$B$103=Paramètres!$B$3)*(Jalons!$R$4:$R$103&lt;&gt;"")*(Jalons!$R$4:$R$103&lt;&gt;"OK")),75)),"")</f>
        <v/>
      </c>
      <c r="B87" s="11">
        <f>IF($A87="","",IFERROR(INDEX(Jalons!$E$4:$E$103,MATCH($A87,Jalons!$A$4:$A$103,0)),""))</f>
        <v/>
      </c>
      <c r="C87" s="11">
        <f>IF($A87="","",IFERROR(INDEX(Jalons!$G$4:$G$103,MATCH($A87,Jalons!$A$4:$A$103,0)),""))</f>
        <v/>
      </c>
      <c r="D87" s="12">
        <f>IF($A87="","",IFERROR(IF(INDEX(Jalons!$J$4:$J$103,MATCH($A87,Jalons!$A$4:$A$103,0))=0,"",INDEX(Jalons!$J$4:$J$103,MATCH($A87,Jalons!$A$4:$A$103,0))),""))</f>
        <v/>
      </c>
      <c r="E87" s="13">
        <f>IF($A87="","",IFERROR(INDEX(Jalons!$M$4:$M$103,MATCH($A87,Jalons!$A$4:$A$103,0)),""))</f>
        <v/>
      </c>
      <c r="F87" s="13">
        <f>IF($A87="","",IFERROR(INDEX(Jalons!$R$4:$R$103,MATCH($A87,Jalons!$A$4:$A$103,0)),""))</f>
        <v/>
      </c>
    </row>
    <row r="88" ht="24" customHeight="1">
      <c r="A88" s="14">
        <f>IFERROR(INDEX(Jalons!$A$4:$A$103,AGGREGATE(15,6,(ROW(Jalons!$A$4:$A$103)-ROW(Jalons!$A$4)+1)/((Jalons!$B$4:$B$103=Paramètres!$B$3)*(Jalons!$R$4:$R$103&lt;&gt;"")*(Jalons!$R$4:$R$103&lt;&gt;"OK")),76)),"")</f>
        <v/>
      </c>
      <c r="B88" s="14">
        <f>IF($A88="","",IFERROR(INDEX(Jalons!$E$4:$E$103,MATCH($A88,Jalons!$A$4:$A$103,0)),""))</f>
        <v/>
      </c>
      <c r="C88" s="14">
        <f>IF($A88="","",IFERROR(INDEX(Jalons!$G$4:$G$103,MATCH($A88,Jalons!$A$4:$A$103,0)),""))</f>
        <v/>
      </c>
      <c r="D88" s="15">
        <f>IF($A88="","",IFERROR(IF(INDEX(Jalons!$J$4:$J$103,MATCH($A88,Jalons!$A$4:$A$103,0))=0,"",INDEX(Jalons!$J$4:$J$103,MATCH($A88,Jalons!$A$4:$A$103,0))),""))</f>
        <v/>
      </c>
      <c r="E88" s="16">
        <f>IF($A88="","",IFERROR(INDEX(Jalons!$M$4:$M$103,MATCH($A88,Jalons!$A$4:$A$103,0)),""))</f>
        <v/>
      </c>
      <c r="F88" s="16">
        <f>IF($A88="","",IFERROR(INDEX(Jalons!$R$4:$R$103,MATCH($A88,Jalons!$A$4:$A$103,0)),""))</f>
        <v/>
      </c>
    </row>
    <row r="89" ht="24" customHeight="1">
      <c r="A89" s="11">
        <f>IFERROR(INDEX(Jalons!$A$4:$A$103,AGGREGATE(15,6,(ROW(Jalons!$A$4:$A$103)-ROW(Jalons!$A$4)+1)/((Jalons!$B$4:$B$103=Paramètres!$B$3)*(Jalons!$R$4:$R$103&lt;&gt;"")*(Jalons!$R$4:$R$103&lt;&gt;"OK")),77)),"")</f>
        <v/>
      </c>
      <c r="B89" s="11">
        <f>IF($A89="","",IFERROR(INDEX(Jalons!$E$4:$E$103,MATCH($A89,Jalons!$A$4:$A$103,0)),""))</f>
        <v/>
      </c>
      <c r="C89" s="11">
        <f>IF($A89="","",IFERROR(INDEX(Jalons!$G$4:$G$103,MATCH($A89,Jalons!$A$4:$A$103,0)),""))</f>
        <v/>
      </c>
      <c r="D89" s="12">
        <f>IF($A89="","",IFERROR(IF(INDEX(Jalons!$J$4:$J$103,MATCH($A89,Jalons!$A$4:$A$103,0))=0,"",INDEX(Jalons!$J$4:$J$103,MATCH($A89,Jalons!$A$4:$A$103,0))),""))</f>
        <v/>
      </c>
      <c r="E89" s="13">
        <f>IF($A89="","",IFERROR(INDEX(Jalons!$M$4:$M$103,MATCH($A89,Jalons!$A$4:$A$103,0)),""))</f>
        <v/>
      </c>
      <c r="F89" s="13">
        <f>IF($A89="","",IFERROR(INDEX(Jalons!$R$4:$R$103,MATCH($A89,Jalons!$A$4:$A$103,0)),""))</f>
        <v/>
      </c>
    </row>
    <row r="90" ht="24" customHeight="1">
      <c r="A90" s="14">
        <f>IFERROR(INDEX(Jalons!$A$4:$A$103,AGGREGATE(15,6,(ROW(Jalons!$A$4:$A$103)-ROW(Jalons!$A$4)+1)/((Jalons!$B$4:$B$103=Paramètres!$B$3)*(Jalons!$R$4:$R$103&lt;&gt;"")*(Jalons!$R$4:$R$103&lt;&gt;"OK")),78)),"")</f>
        <v/>
      </c>
      <c r="B90" s="14">
        <f>IF($A90="","",IFERROR(INDEX(Jalons!$E$4:$E$103,MATCH($A90,Jalons!$A$4:$A$103,0)),""))</f>
        <v/>
      </c>
      <c r="C90" s="14">
        <f>IF($A90="","",IFERROR(INDEX(Jalons!$G$4:$G$103,MATCH($A90,Jalons!$A$4:$A$103,0)),""))</f>
        <v/>
      </c>
      <c r="D90" s="15">
        <f>IF($A90="","",IFERROR(IF(INDEX(Jalons!$J$4:$J$103,MATCH($A90,Jalons!$A$4:$A$103,0))=0,"",INDEX(Jalons!$J$4:$J$103,MATCH($A90,Jalons!$A$4:$A$103,0))),""))</f>
        <v/>
      </c>
      <c r="E90" s="16">
        <f>IF($A90="","",IFERROR(INDEX(Jalons!$M$4:$M$103,MATCH($A90,Jalons!$A$4:$A$103,0)),""))</f>
        <v/>
      </c>
      <c r="F90" s="16">
        <f>IF($A90="","",IFERROR(INDEX(Jalons!$R$4:$R$103,MATCH($A90,Jalons!$A$4:$A$103,0)),""))</f>
        <v/>
      </c>
    </row>
    <row r="91" ht="24" customHeight="1">
      <c r="A91" s="11">
        <f>IFERROR(INDEX(Jalons!$A$4:$A$103,AGGREGATE(15,6,(ROW(Jalons!$A$4:$A$103)-ROW(Jalons!$A$4)+1)/((Jalons!$B$4:$B$103=Paramètres!$B$3)*(Jalons!$R$4:$R$103&lt;&gt;"")*(Jalons!$R$4:$R$103&lt;&gt;"OK")),79)),"")</f>
        <v/>
      </c>
      <c r="B91" s="11">
        <f>IF($A91="","",IFERROR(INDEX(Jalons!$E$4:$E$103,MATCH($A91,Jalons!$A$4:$A$103,0)),""))</f>
        <v/>
      </c>
      <c r="C91" s="11">
        <f>IF($A91="","",IFERROR(INDEX(Jalons!$G$4:$G$103,MATCH($A91,Jalons!$A$4:$A$103,0)),""))</f>
        <v/>
      </c>
      <c r="D91" s="12">
        <f>IF($A91="","",IFERROR(IF(INDEX(Jalons!$J$4:$J$103,MATCH($A91,Jalons!$A$4:$A$103,0))=0,"",INDEX(Jalons!$J$4:$J$103,MATCH($A91,Jalons!$A$4:$A$103,0))),""))</f>
        <v/>
      </c>
      <c r="E91" s="13">
        <f>IF($A91="","",IFERROR(INDEX(Jalons!$M$4:$M$103,MATCH($A91,Jalons!$A$4:$A$103,0)),""))</f>
        <v/>
      </c>
      <c r="F91" s="13">
        <f>IF($A91="","",IFERROR(INDEX(Jalons!$R$4:$R$103,MATCH($A91,Jalons!$A$4:$A$103,0)),""))</f>
        <v/>
      </c>
    </row>
    <row r="92" ht="24" customHeight="1">
      <c r="A92" s="14">
        <f>IFERROR(INDEX(Jalons!$A$4:$A$103,AGGREGATE(15,6,(ROW(Jalons!$A$4:$A$103)-ROW(Jalons!$A$4)+1)/((Jalons!$B$4:$B$103=Paramètres!$B$3)*(Jalons!$R$4:$R$103&lt;&gt;"")*(Jalons!$R$4:$R$103&lt;&gt;"OK")),80)),"")</f>
        <v/>
      </c>
      <c r="B92" s="14">
        <f>IF($A92="","",IFERROR(INDEX(Jalons!$E$4:$E$103,MATCH($A92,Jalons!$A$4:$A$103,0)),""))</f>
        <v/>
      </c>
      <c r="C92" s="14">
        <f>IF($A92="","",IFERROR(INDEX(Jalons!$G$4:$G$103,MATCH($A92,Jalons!$A$4:$A$103,0)),""))</f>
        <v/>
      </c>
      <c r="D92" s="15">
        <f>IF($A92="","",IFERROR(IF(INDEX(Jalons!$J$4:$J$103,MATCH($A92,Jalons!$A$4:$A$103,0))=0,"",INDEX(Jalons!$J$4:$J$103,MATCH($A92,Jalons!$A$4:$A$103,0))),""))</f>
        <v/>
      </c>
      <c r="E92" s="16">
        <f>IF($A92="","",IFERROR(INDEX(Jalons!$M$4:$M$103,MATCH($A92,Jalons!$A$4:$A$103,0)),""))</f>
        <v/>
      </c>
      <c r="F92" s="16">
        <f>IF($A92="","",IFERROR(INDEX(Jalons!$R$4:$R$103,MATCH($A92,Jalons!$A$4:$A$103,0)),""))</f>
        <v/>
      </c>
    </row>
    <row r="93" ht="24" customHeight="1">
      <c r="A93" s="11">
        <f>IFERROR(INDEX(Jalons!$A$4:$A$103,AGGREGATE(15,6,(ROW(Jalons!$A$4:$A$103)-ROW(Jalons!$A$4)+1)/((Jalons!$B$4:$B$103=Paramètres!$B$3)*(Jalons!$R$4:$R$103&lt;&gt;"")*(Jalons!$R$4:$R$103&lt;&gt;"OK")),81)),"")</f>
        <v/>
      </c>
      <c r="B93" s="11">
        <f>IF($A93="","",IFERROR(INDEX(Jalons!$E$4:$E$103,MATCH($A93,Jalons!$A$4:$A$103,0)),""))</f>
        <v/>
      </c>
      <c r="C93" s="11">
        <f>IF($A93="","",IFERROR(INDEX(Jalons!$G$4:$G$103,MATCH($A93,Jalons!$A$4:$A$103,0)),""))</f>
        <v/>
      </c>
      <c r="D93" s="12">
        <f>IF($A93="","",IFERROR(IF(INDEX(Jalons!$J$4:$J$103,MATCH($A93,Jalons!$A$4:$A$103,0))=0,"",INDEX(Jalons!$J$4:$J$103,MATCH($A93,Jalons!$A$4:$A$103,0))),""))</f>
        <v/>
      </c>
      <c r="E93" s="13">
        <f>IF($A93="","",IFERROR(INDEX(Jalons!$M$4:$M$103,MATCH($A93,Jalons!$A$4:$A$103,0)),""))</f>
        <v/>
      </c>
      <c r="F93" s="13">
        <f>IF($A93="","",IFERROR(INDEX(Jalons!$R$4:$R$103,MATCH($A93,Jalons!$A$4:$A$103,0)),""))</f>
        <v/>
      </c>
    </row>
    <row r="94" ht="24" customHeight="1">
      <c r="A94" s="14">
        <f>IFERROR(INDEX(Jalons!$A$4:$A$103,AGGREGATE(15,6,(ROW(Jalons!$A$4:$A$103)-ROW(Jalons!$A$4)+1)/((Jalons!$B$4:$B$103=Paramètres!$B$3)*(Jalons!$R$4:$R$103&lt;&gt;"")*(Jalons!$R$4:$R$103&lt;&gt;"OK")),82)),"")</f>
        <v/>
      </c>
      <c r="B94" s="14">
        <f>IF($A94="","",IFERROR(INDEX(Jalons!$E$4:$E$103,MATCH($A94,Jalons!$A$4:$A$103,0)),""))</f>
        <v/>
      </c>
      <c r="C94" s="14">
        <f>IF($A94="","",IFERROR(INDEX(Jalons!$G$4:$G$103,MATCH($A94,Jalons!$A$4:$A$103,0)),""))</f>
        <v/>
      </c>
      <c r="D94" s="15">
        <f>IF($A94="","",IFERROR(IF(INDEX(Jalons!$J$4:$J$103,MATCH($A94,Jalons!$A$4:$A$103,0))=0,"",INDEX(Jalons!$J$4:$J$103,MATCH($A94,Jalons!$A$4:$A$103,0))),""))</f>
        <v/>
      </c>
      <c r="E94" s="16">
        <f>IF($A94="","",IFERROR(INDEX(Jalons!$M$4:$M$103,MATCH($A94,Jalons!$A$4:$A$103,0)),""))</f>
        <v/>
      </c>
      <c r="F94" s="16">
        <f>IF($A94="","",IFERROR(INDEX(Jalons!$R$4:$R$103,MATCH($A94,Jalons!$A$4:$A$103,0)),""))</f>
        <v/>
      </c>
    </row>
    <row r="95" ht="24" customHeight="1">
      <c r="A95" s="11">
        <f>IFERROR(INDEX(Jalons!$A$4:$A$103,AGGREGATE(15,6,(ROW(Jalons!$A$4:$A$103)-ROW(Jalons!$A$4)+1)/((Jalons!$B$4:$B$103=Paramètres!$B$3)*(Jalons!$R$4:$R$103&lt;&gt;"")*(Jalons!$R$4:$R$103&lt;&gt;"OK")),83)),"")</f>
        <v/>
      </c>
      <c r="B95" s="11">
        <f>IF($A95="","",IFERROR(INDEX(Jalons!$E$4:$E$103,MATCH($A95,Jalons!$A$4:$A$103,0)),""))</f>
        <v/>
      </c>
      <c r="C95" s="11">
        <f>IF($A95="","",IFERROR(INDEX(Jalons!$G$4:$G$103,MATCH($A95,Jalons!$A$4:$A$103,0)),""))</f>
        <v/>
      </c>
      <c r="D95" s="12">
        <f>IF($A95="","",IFERROR(IF(INDEX(Jalons!$J$4:$J$103,MATCH($A95,Jalons!$A$4:$A$103,0))=0,"",INDEX(Jalons!$J$4:$J$103,MATCH($A95,Jalons!$A$4:$A$103,0))),""))</f>
        <v/>
      </c>
      <c r="E95" s="13">
        <f>IF($A95="","",IFERROR(INDEX(Jalons!$M$4:$M$103,MATCH($A95,Jalons!$A$4:$A$103,0)),""))</f>
        <v/>
      </c>
      <c r="F95" s="13">
        <f>IF($A95="","",IFERROR(INDEX(Jalons!$R$4:$R$103,MATCH($A95,Jalons!$A$4:$A$103,0)),""))</f>
        <v/>
      </c>
    </row>
    <row r="96" ht="24" customHeight="1">
      <c r="A96" s="14">
        <f>IFERROR(INDEX(Jalons!$A$4:$A$103,AGGREGATE(15,6,(ROW(Jalons!$A$4:$A$103)-ROW(Jalons!$A$4)+1)/((Jalons!$B$4:$B$103=Paramètres!$B$3)*(Jalons!$R$4:$R$103&lt;&gt;"")*(Jalons!$R$4:$R$103&lt;&gt;"OK")),84)),"")</f>
        <v/>
      </c>
      <c r="B96" s="14">
        <f>IF($A96="","",IFERROR(INDEX(Jalons!$E$4:$E$103,MATCH($A96,Jalons!$A$4:$A$103,0)),""))</f>
        <v/>
      </c>
      <c r="C96" s="14">
        <f>IF($A96="","",IFERROR(INDEX(Jalons!$G$4:$G$103,MATCH($A96,Jalons!$A$4:$A$103,0)),""))</f>
        <v/>
      </c>
      <c r="D96" s="15">
        <f>IF($A96="","",IFERROR(IF(INDEX(Jalons!$J$4:$J$103,MATCH($A96,Jalons!$A$4:$A$103,0))=0,"",INDEX(Jalons!$J$4:$J$103,MATCH($A96,Jalons!$A$4:$A$103,0))),""))</f>
        <v/>
      </c>
      <c r="E96" s="16">
        <f>IF($A96="","",IFERROR(INDEX(Jalons!$M$4:$M$103,MATCH($A96,Jalons!$A$4:$A$103,0)),""))</f>
        <v/>
      </c>
      <c r="F96" s="16">
        <f>IF($A96="","",IFERROR(INDEX(Jalons!$R$4:$R$103,MATCH($A96,Jalons!$A$4:$A$103,0)),""))</f>
        <v/>
      </c>
    </row>
    <row r="97" ht="24" customHeight="1">
      <c r="A97" s="11">
        <f>IFERROR(INDEX(Jalons!$A$4:$A$103,AGGREGATE(15,6,(ROW(Jalons!$A$4:$A$103)-ROW(Jalons!$A$4)+1)/((Jalons!$B$4:$B$103=Paramètres!$B$3)*(Jalons!$R$4:$R$103&lt;&gt;"")*(Jalons!$R$4:$R$103&lt;&gt;"OK")),85)),"")</f>
        <v/>
      </c>
      <c r="B97" s="11">
        <f>IF($A97="","",IFERROR(INDEX(Jalons!$E$4:$E$103,MATCH($A97,Jalons!$A$4:$A$103,0)),""))</f>
        <v/>
      </c>
      <c r="C97" s="11">
        <f>IF($A97="","",IFERROR(INDEX(Jalons!$G$4:$G$103,MATCH($A97,Jalons!$A$4:$A$103,0)),""))</f>
        <v/>
      </c>
      <c r="D97" s="12">
        <f>IF($A97="","",IFERROR(IF(INDEX(Jalons!$J$4:$J$103,MATCH($A97,Jalons!$A$4:$A$103,0))=0,"",INDEX(Jalons!$J$4:$J$103,MATCH($A97,Jalons!$A$4:$A$103,0))),""))</f>
        <v/>
      </c>
      <c r="E97" s="13">
        <f>IF($A97="","",IFERROR(INDEX(Jalons!$M$4:$M$103,MATCH($A97,Jalons!$A$4:$A$103,0)),""))</f>
        <v/>
      </c>
      <c r="F97" s="13">
        <f>IF($A97="","",IFERROR(INDEX(Jalons!$R$4:$R$103,MATCH($A97,Jalons!$A$4:$A$103,0)),""))</f>
        <v/>
      </c>
    </row>
    <row r="98" ht="24" customHeight="1">
      <c r="A98" s="14">
        <f>IFERROR(INDEX(Jalons!$A$4:$A$103,AGGREGATE(15,6,(ROW(Jalons!$A$4:$A$103)-ROW(Jalons!$A$4)+1)/((Jalons!$B$4:$B$103=Paramètres!$B$3)*(Jalons!$R$4:$R$103&lt;&gt;"")*(Jalons!$R$4:$R$103&lt;&gt;"OK")),86)),"")</f>
        <v/>
      </c>
      <c r="B98" s="14">
        <f>IF($A98="","",IFERROR(INDEX(Jalons!$E$4:$E$103,MATCH($A98,Jalons!$A$4:$A$103,0)),""))</f>
        <v/>
      </c>
      <c r="C98" s="14">
        <f>IF($A98="","",IFERROR(INDEX(Jalons!$G$4:$G$103,MATCH($A98,Jalons!$A$4:$A$103,0)),""))</f>
        <v/>
      </c>
      <c r="D98" s="15">
        <f>IF($A98="","",IFERROR(IF(INDEX(Jalons!$J$4:$J$103,MATCH($A98,Jalons!$A$4:$A$103,0))=0,"",INDEX(Jalons!$J$4:$J$103,MATCH($A98,Jalons!$A$4:$A$103,0))),""))</f>
        <v/>
      </c>
      <c r="E98" s="16">
        <f>IF($A98="","",IFERROR(INDEX(Jalons!$M$4:$M$103,MATCH($A98,Jalons!$A$4:$A$103,0)),""))</f>
        <v/>
      </c>
      <c r="F98" s="16">
        <f>IF($A98="","",IFERROR(INDEX(Jalons!$R$4:$R$103,MATCH($A98,Jalons!$A$4:$A$103,0)),""))</f>
        <v/>
      </c>
    </row>
    <row r="99" ht="24" customHeight="1">
      <c r="A99" s="11">
        <f>IFERROR(INDEX(Jalons!$A$4:$A$103,AGGREGATE(15,6,(ROW(Jalons!$A$4:$A$103)-ROW(Jalons!$A$4)+1)/((Jalons!$B$4:$B$103=Paramètres!$B$3)*(Jalons!$R$4:$R$103&lt;&gt;"")*(Jalons!$R$4:$R$103&lt;&gt;"OK")),87)),"")</f>
        <v/>
      </c>
      <c r="B99" s="11">
        <f>IF($A99="","",IFERROR(INDEX(Jalons!$E$4:$E$103,MATCH($A99,Jalons!$A$4:$A$103,0)),""))</f>
        <v/>
      </c>
      <c r="C99" s="11">
        <f>IF($A99="","",IFERROR(INDEX(Jalons!$G$4:$G$103,MATCH($A99,Jalons!$A$4:$A$103,0)),""))</f>
        <v/>
      </c>
      <c r="D99" s="12">
        <f>IF($A99="","",IFERROR(IF(INDEX(Jalons!$J$4:$J$103,MATCH($A99,Jalons!$A$4:$A$103,0))=0,"",INDEX(Jalons!$J$4:$J$103,MATCH($A99,Jalons!$A$4:$A$103,0))),""))</f>
        <v/>
      </c>
      <c r="E99" s="13">
        <f>IF($A99="","",IFERROR(INDEX(Jalons!$M$4:$M$103,MATCH($A99,Jalons!$A$4:$A$103,0)),""))</f>
        <v/>
      </c>
      <c r="F99" s="13">
        <f>IF($A99="","",IFERROR(INDEX(Jalons!$R$4:$R$103,MATCH($A99,Jalons!$A$4:$A$103,0)),""))</f>
        <v/>
      </c>
    </row>
    <row r="100" ht="24" customHeight="1">
      <c r="A100" s="14">
        <f>IFERROR(INDEX(Jalons!$A$4:$A$103,AGGREGATE(15,6,(ROW(Jalons!$A$4:$A$103)-ROW(Jalons!$A$4)+1)/((Jalons!$B$4:$B$103=Paramètres!$B$3)*(Jalons!$R$4:$R$103&lt;&gt;"")*(Jalons!$R$4:$R$103&lt;&gt;"OK")),88)),"")</f>
        <v/>
      </c>
      <c r="B100" s="14">
        <f>IF($A100="","",IFERROR(INDEX(Jalons!$E$4:$E$103,MATCH($A100,Jalons!$A$4:$A$103,0)),""))</f>
        <v/>
      </c>
      <c r="C100" s="14">
        <f>IF($A100="","",IFERROR(INDEX(Jalons!$G$4:$G$103,MATCH($A100,Jalons!$A$4:$A$103,0)),""))</f>
        <v/>
      </c>
      <c r="D100" s="15">
        <f>IF($A100="","",IFERROR(IF(INDEX(Jalons!$J$4:$J$103,MATCH($A100,Jalons!$A$4:$A$103,0))=0,"",INDEX(Jalons!$J$4:$J$103,MATCH($A100,Jalons!$A$4:$A$103,0))),""))</f>
        <v/>
      </c>
      <c r="E100" s="16">
        <f>IF($A100="","",IFERROR(INDEX(Jalons!$M$4:$M$103,MATCH($A100,Jalons!$A$4:$A$103,0)),""))</f>
        <v/>
      </c>
      <c r="F100" s="16">
        <f>IF($A100="","",IFERROR(INDEX(Jalons!$R$4:$R$103,MATCH($A100,Jalons!$A$4:$A$103,0)),""))</f>
        <v/>
      </c>
    </row>
    <row r="101" ht="24" customHeight="1">
      <c r="A101" s="11">
        <f>IFERROR(INDEX(Jalons!$A$4:$A$103,AGGREGATE(15,6,(ROW(Jalons!$A$4:$A$103)-ROW(Jalons!$A$4)+1)/((Jalons!$B$4:$B$103=Paramètres!$B$3)*(Jalons!$R$4:$R$103&lt;&gt;"")*(Jalons!$R$4:$R$103&lt;&gt;"OK")),89)),"")</f>
        <v/>
      </c>
      <c r="B101" s="11">
        <f>IF($A101="","",IFERROR(INDEX(Jalons!$E$4:$E$103,MATCH($A101,Jalons!$A$4:$A$103,0)),""))</f>
        <v/>
      </c>
      <c r="C101" s="11">
        <f>IF($A101="","",IFERROR(INDEX(Jalons!$G$4:$G$103,MATCH($A101,Jalons!$A$4:$A$103,0)),""))</f>
        <v/>
      </c>
      <c r="D101" s="12">
        <f>IF($A101="","",IFERROR(IF(INDEX(Jalons!$J$4:$J$103,MATCH($A101,Jalons!$A$4:$A$103,0))=0,"",INDEX(Jalons!$J$4:$J$103,MATCH($A101,Jalons!$A$4:$A$103,0))),""))</f>
        <v/>
      </c>
      <c r="E101" s="13">
        <f>IF($A101="","",IFERROR(INDEX(Jalons!$M$4:$M$103,MATCH($A101,Jalons!$A$4:$A$103,0)),""))</f>
        <v/>
      </c>
      <c r="F101" s="13">
        <f>IF($A101="","",IFERROR(INDEX(Jalons!$R$4:$R$103,MATCH($A101,Jalons!$A$4:$A$103,0)),""))</f>
        <v/>
      </c>
    </row>
    <row r="102" ht="24" customHeight="1">
      <c r="A102" s="14">
        <f>IFERROR(INDEX(Jalons!$A$4:$A$103,AGGREGATE(15,6,(ROW(Jalons!$A$4:$A$103)-ROW(Jalons!$A$4)+1)/((Jalons!$B$4:$B$103=Paramètres!$B$3)*(Jalons!$R$4:$R$103&lt;&gt;"")*(Jalons!$R$4:$R$103&lt;&gt;"OK")),90)),"")</f>
        <v/>
      </c>
      <c r="B102" s="14">
        <f>IF($A102="","",IFERROR(INDEX(Jalons!$E$4:$E$103,MATCH($A102,Jalons!$A$4:$A$103,0)),""))</f>
        <v/>
      </c>
      <c r="C102" s="14">
        <f>IF($A102="","",IFERROR(INDEX(Jalons!$G$4:$G$103,MATCH($A102,Jalons!$A$4:$A$103,0)),""))</f>
        <v/>
      </c>
      <c r="D102" s="15">
        <f>IF($A102="","",IFERROR(IF(INDEX(Jalons!$J$4:$J$103,MATCH($A102,Jalons!$A$4:$A$103,0))=0,"",INDEX(Jalons!$J$4:$J$103,MATCH($A102,Jalons!$A$4:$A$103,0))),""))</f>
        <v/>
      </c>
      <c r="E102" s="16">
        <f>IF($A102="","",IFERROR(INDEX(Jalons!$M$4:$M$103,MATCH($A102,Jalons!$A$4:$A$103,0)),""))</f>
        <v/>
      </c>
      <c r="F102" s="16">
        <f>IF($A102="","",IFERROR(INDEX(Jalons!$R$4:$R$103,MATCH($A102,Jalons!$A$4:$A$103,0)),""))</f>
        <v/>
      </c>
    </row>
    <row r="103" ht="24" customHeight="1">
      <c r="A103" s="11">
        <f>IFERROR(INDEX(Jalons!$A$4:$A$103,AGGREGATE(15,6,(ROW(Jalons!$A$4:$A$103)-ROW(Jalons!$A$4)+1)/((Jalons!$B$4:$B$103=Paramètres!$B$3)*(Jalons!$R$4:$R$103&lt;&gt;"")*(Jalons!$R$4:$R$103&lt;&gt;"OK")),91)),"")</f>
        <v/>
      </c>
      <c r="B103" s="11">
        <f>IF($A103="","",IFERROR(INDEX(Jalons!$E$4:$E$103,MATCH($A103,Jalons!$A$4:$A$103,0)),""))</f>
        <v/>
      </c>
      <c r="C103" s="11">
        <f>IF($A103="","",IFERROR(INDEX(Jalons!$G$4:$G$103,MATCH($A103,Jalons!$A$4:$A$103,0)),""))</f>
        <v/>
      </c>
      <c r="D103" s="12">
        <f>IF($A103="","",IFERROR(IF(INDEX(Jalons!$J$4:$J$103,MATCH($A103,Jalons!$A$4:$A$103,0))=0,"",INDEX(Jalons!$J$4:$J$103,MATCH($A103,Jalons!$A$4:$A$103,0))),""))</f>
        <v/>
      </c>
      <c r="E103" s="13">
        <f>IF($A103="","",IFERROR(INDEX(Jalons!$M$4:$M$103,MATCH($A103,Jalons!$A$4:$A$103,0)),""))</f>
        <v/>
      </c>
      <c r="F103" s="13">
        <f>IF($A103="","",IFERROR(INDEX(Jalons!$R$4:$R$103,MATCH($A103,Jalons!$A$4:$A$103,0)),""))</f>
        <v/>
      </c>
    </row>
    <row r="104" ht="24" customHeight="1">
      <c r="A104" s="14">
        <f>IFERROR(INDEX(Jalons!$A$4:$A$103,AGGREGATE(15,6,(ROW(Jalons!$A$4:$A$103)-ROW(Jalons!$A$4)+1)/((Jalons!$B$4:$B$103=Paramètres!$B$3)*(Jalons!$R$4:$R$103&lt;&gt;"")*(Jalons!$R$4:$R$103&lt;&gt;"OK")),92)),"")</f>
        <v/>
      </c>
      <c r="B104" s="14">
        <f>IF($A104="","",IFERROR(INDEX(Jalons!$E$4:$E$103,MATCH($A104,Jalons!$A$4:$A$103,0)),""))</f>
        <v/>
      </c>
      <c r="C104" s="14">
        <f>IF($A104="","",IFERROR(INDEX(Jalons!$G$4:$G$103,MATCH($A104,Jalons!$A$4:$A$103,0)),""))</f>
        <v/>
      </c>
      <c r="D104" s="15">
        <f>IF($A104="","",IFERROR(IF(INDEX(Jalons!$J$4:$J$103,MATCH($A104,Jalons!$A$4:$A$103,0))=0,"",INDEX(Jalons!$J$4:$J$103,MATCH($A104,Jalons!$A$4:$A$103,0))),""))</f>
        <v/>
      </c>
      <c r="E104" s="16">
        <f>IF($A104="","",IFERROR(INDEX(Jalons!$M$4:$M$103,MATCH($A104,Jalons!$A$4:$A$103,0)),""))</f>
        <v/>
      </c>
      <c r="F104" s="16">
        <f>IF($A104="","",IFERROR(INDEX(Jalons!$R$4:$R$103,MATCH($A104,Jalons!$A$4:$A$103,0)),""))</f>
        <v/>
      </c>
    </row>
    <row r="105" ht="24" customHeight="1">
      <c r="A105" s="11">
        <f>IFERROR(INDEX(Jalons!$A$4:$A$103,AGGREGATE(15,6,(ROW(Jalons!$A$4:$A$103)-ROW(Jalons!$A$4)+1)/((Jalons!$B$4:$B$103=Paramètres!$B$3)*(Jalons!$R$4:$R$103&lt;&gt;"")*(Jalons!$R$4:$R$103&lt;&gt;"OK")),93)),"")</f>
        <v/>
      </c>
      <c r="B105" s="11">
        <f>IF($A105="","",IFERROR(INDEX(Jalons!$E$4:$E$103,MATCH($A105,Jalons!$A$4:$A$103,0)),""))</f>
        <v/>
      </c>
      <c r="C105" s="11">
        <f>IF($A105="","",IFERROR(INDEX(Jalons!$G$4:$G$103,MATCH($A105,Jalons!$A$4:$A$103,0)),""))</f>
        <v/>
      </c>
      <c r="D105" s="12">
        <f>IF($A105="","",IFERROR(IF(INDEX(Jalons!$J$4:$J$103,MATCH($A105,Jalons!$A$4:$A$103,0))=0,"",INDEX(Jalons!$J$4:$J$103,MATCH($A105,Jalons!$A$4:$A$103,0))),""))</f>
        <v/>
      </c>
      <c r="E105" s="13">
        <f>IF($A105="","",IFERROR(INDEX(Jalons!$M$4:$M$103,MATCH($A105,Jalons!$A$4:$A$103,0)),""))</f>
        <v/>
      </c>
      <c r="F105" s="13">
        <f>IF($A105="","",IFERROR(INDEX(Jalons!$R$4:$R$103,MATCH($A105,Jalons!$A$4:$A$103,0)),""))</f>
        <v/>
      </c>
    </row>
    <row r="106" ht="24" customHeight="1">
      <c r="A106" s="14">
        <f>IFERROR(INDEX(Jalons!$A$4:$A$103,AGGREGATE(15,6,(ROW(Jalons!$A$4:$A$103)-ROW(Jalons!$A$4)+1)/((Jalons!$B$4:$B$103=Paramètres!$B$3)*(Jalons!$R$4:$R$103&lt;&gt;"")*(Jalons!$R$4:$R$103&lt;&gt;"OK")),94)),"")</f>
        <v/>
      </c>
      <c r="B106" s="14">
        <f>IF($A106="","",IFERROR(INDEX(Jalons!$E$4:$E$103,MATCH($A106,Jalons!$A$4:$A$103,0)),""))</f>
        <v/>
      </c>
      <c r="C106" s="14">
        <f>IF($A106="","",IFERROR(INDEX(Jalons!$G$4:$G$103,MATCH($A106,Jalons!$A$4:$A$103,0)),""))</f>
        <v/>
      </c>
      <c r="D106" s="15">
        <f>IF($A106="","",IFERROR(IF(INDEX(Jalons!$J$4:$J$103,MATCH($A106,Jalons!$A$4:$A$103,0))=0,"",INDEX(Jalons!$J$4:$J$103,MATCH($A106,Jalons!$A$4:$A$103,0))),""))</f>
        <v/>
      </c>
      <c r="E106" s="16">
        <f>IF($A106="","",IFERROR(INDEX(Jalons!$M$4:$M$103,MATCH($A106,Jalons!$A$4:$A$103,0)),""))</f>
        <v/>
      </c>
      <c r="F106" s="16">
        <f>IF($A106="","",IFERROR(INDEX(Jalons!$R$4:$R$103,MATCH($A106,Jalons!$A$4:$A$103,0)),""))</f>
        <v/>
      </c>
    </row>
    <row r="107" ht="24" customHeight="1">
      <c r="A107" s="11">
        <f>IFERROR(INDEX(Jalons!$A$4:$A$103,AGGREGATE(15,6,(ROW(Jalons!$A$4:$A$103)-ROW(Jalons!$A$4)+1)/((Jalons!$B$4:$B$103=Paramètres!$B$3)*(Jalons!$R$4:$R$103&lt;&gt;"")*(Jalons!$R$4:$R$103&lt;&gt;"OK")),95)),"")</f>
        <v/>
      </c>
      <c r="B107" s="11">
        <f>IF($A107="","",IFERROR(INDEX(Jalons!$E$4:$E$103,MATCH($A107,Jalons!$A$4:$A$103,0)),""))</f>
        <v/>
      </c>
      <c r="C107" s="11">
        <f>IF($A107="","",IFERROR(INDEX(Jalons!$G$4:$G$103,MATCH($A107,Jalons!$A$4:$A$103,0)),""))</f>
        <v/>
      </c>
      <c r="D107" s="12">
        <f>IF($A107="","",IFERROR(IF(INDEX(Jalons!$J$4:$J$103,MATCH($A107,Jalons!$A$4:$A$103,0))=0,"",INDEX(Jalons!$J$4:$J$103,MATCH($A107,Jalons!$A$4:$A$103,0))),""))</f>
        <v/>
      </c>
      <c r="E107" s="13">
        <f>IF($A107="","",IFERROR(INDEX(Jalons!$M$4:$M$103,MATCH($A107,Jalons!$A$4:$A$103,0)),""))</f>
        <v/>
      </c>
      <c r="F107" s="13">
        <f>IF($A107="","",IFERROR(INDEX(Jalons!$R$4:$R$103,MATCH($A107,Jalons!$A$4:$A$103,0)),""))</f>
        <v/>
      </c>
    </row>
    <row r="108" ht="24" customHeight="1">
      <c r="A108" s="14">
        <f>IFERROR(INDEX(Jalons!$A$4:$A$103,AGGREGATE(15,6,(ROW(Jalons!$A$4:$A$103)-ROW(Jalons!$A$4)+1)/((Jalons!$B$4:$B$103=Paramètres!$B$3)*(Jalons!$R$4:$R$103&lt;&gt;"")*(Jalons!$R$4:$R$103&lt;&gt;"OK")),96)),"")</f>
        <v/>
      </c>
      <c r="B108" s="14">
        <f>IF($A108="","",IFERROR(INDEX(Jalons!$E$4:$E$103,MATCH($A108,Jalons!$A$4:$A$103,0)),""))</f>
        <v/>
      </c>
      <c r="C108" s="14">
        <f>IF($A108="","",IFERROR(INDEX(Jalons!$G$4:$G$103,MATCH($A108,Jalons!$A$4:$A$103,0)),""))</f>
        <v/>
      </c>
      <c r="D108" s="15">
        <f>IF($A108="","",IFERROR(IF(INDEX(Jalons!$J$4:$J$103,MATCH($A108,Jalons!$A$4:$A$103,0))=0,"",INDEX(Jalons!$J$4:$J$103,MATCH($A108,Jalons!$A$4:$A$103,0))),""))</f>
        <v/>
      </c>
      <c r="E108" s="16">
        <f>IF($A108="","",IFERROR(INDEX(Jalons!$M$4:$M$103,MATCH($A108,Jalons!$A$4:$A$103,0)),""))</f>
        <v/>
      </c>
      <c r="F108" s="16">
        <f>IF($A108="","",IFERROR(INDEX(Jalons!$R$4:$R$103,MATCH($A108,Jalons!$A$4:$A$103,0)),""))</f>
        <v/>
      </c>
    </row>
    <row r="109" ht="24" customHeight="1">
      <c r="A109" s="11">
        <f>IFERROR(INDEX(Jalons!$A$4:$A$103,AGGREGATE(15,6,(ROW(Jalons!$A$4:$A$103)-ROW(Jalons!$A$4)+1)/((Jalons!$B$4:$B$103=Paramètres!$B$3)*(Jalons!$R$4:$R$103&lt;&gt;"")*(Jalons!$R$4:$R$103&lt;&gt;"OK")),97)),"")</f>
        <v/>
      </c>
      <c r="B109" s="11">
        <f>IF($A109="","",IFERROR(INDEX(Jalons!$E$4:$E$103,MATCH($A109,Jalons!$A$4:$A$103,0)),""))</f>
        <v/>
      </c>
      <c r="C109" s="11">
        <f>IF($A109="","",IFERROR(INDEX(Jalons!$G$4:$G$103,MATCH($A109,Jalons!$A$4:$A$103,0)),""))</f>
        <v/>
      </c>
      <c r="D109" s="12">
        <f>IF($A109="","",IFERROR(IF(INDEX(Jalons!$J$4:$J$103,MATCH($A109,Jalons!$A$4:$A$103,0))=0,"",INDEX(Jalons!$J$4:$J$103,MATCH($A109,Jalons!$A$4:$A$103,0))),""))</f>
        <v/>
      </c>
      <c r="E109" s="13">
        <f>IF($A109="","",IFERROR(INDEX(Jalons!$M$4:$M$103,MATCH($A109,Jalons!$A$4:$A$103,0)),""))</f>
        <v/>
      </c>
      <c r="F109" s="13">
        <f>IF($A109="","",IFERROR(INDEX(Jalons!$R$4:$R$103,MATCH($A109,Jalons!$A$4:$A$103,0)),""))</f>
        <v/>
      </c>
    </row>
    <row r="110" ht="24" customHeight="1">
      <c r="A110" s="14">
        <f>IFERROR(INDEX(Jalons!$A$4:$A$103,AGGREGATE(15,6,(ROW(Jalons!$A$4:$A$103)-ROW(Jalons!$A$4)+1)/((Jalons!$B$4:$B$103=Paramètres!$B$3)*(Jalons!$R$4:$R$103&lt;&gt;"")*(Jalons!$R$4:$R$103&lt;&gt;"OK")),98)),"")</f>
        <v/>
      </c>
      <c r="B110" s="14">
        <f>IF($A110="","",IFERROR(INDEX(Jalons!$E$4:$E$103,MATCH($A110,Jalons!$A$4:$A$103,0)),""))</f>
        <v/>
      </c>
      <c r="C110" s="14">
        <f>IF($A110="","",IFERROR(INDEX(Jalons!$G$4:$G$103,MATCH($A110,Jalons!$A$4:$A$103,0)),""))</f>
        <v/>
      </c>
      <c r="D110" s="15">
        <f>IF($A110="","",IFERROR(IF(INDEX(Jalons!$J$4:$J$103,MATCH($A110,Jalons!$A$4:$A$103,0))=0,"",INDEX(Jalons!$J$4:$J$103,MATCH($A110,Jalons!$A$4:$A$103,0))),""))</f>
        <v/>
      </c>
      <c r="E110" s="16">
        <f>IF($A110="","",IFERROR(INDEX(Jalons!$M$4:$M$103,MATCH($A110,Jalons!$A$4:$A$103,0)),""))</f>
        <v/>
      </c>
      <c r="F110" s="16">
        <f>IF($A110="","",IFERROR(INDEX(Jalons!$R$4:$R$103,MATCH($A110,Jalons!$A$4:$A$103,0)),""))</f>
        <v/>
      </c>
    </row>
    <row r="111" ht="24" customHeight="1">
      <c r="A111" s="11">
        <f>IFERROR(INDEX(Jalons!$A$4:$A$103,AGGREGATE(15,6,(ROW(Jalons!$A$4:$A$103)-ROW(Jalons!$A$4)+1)/((Jalons!$B$4:$B$103=Paramètres!$B$3)*(Jalons!$R$4:$R$103&lt;&gt;"")*(Jalons!$R$4:$R$103&lt;&gt;"OK")),99)),"")</f>
        <v/>
      </c>
      <c r="B111" s="11">
        <f>IF($A111="","",IFERROR(INDEX(Jalons!$E$4:$E$103,MATCH($A111,Jalons!$A$4:$A$103,0)),""))</f>
        <v/>
      </c>
      <c r="C111" s="11">
        <f>IF($A111="","",IFERROR(INDEX(Jalons!$G$4:$G$103,MATCH($A111,Jalons!$A$4:$A$103,0)),""))</f>
        <v/>
      </c>
      <c r="D111" s="12">
        <f>IF($A111="","",IFERROR(IF(INDEX(Jalons!$J$4:$J$103,MATCH($A111,Jalons!$A$4:$A$103,0))=0,"",INDEX(Jalons!$J$4:$J$103,MATCH($A111,Jalons!$A$4:$A$103,0))),""))</f>
        <v/>
      </c>
      <c r="E111" s="13">
        <f>IF($A111="","",IFERROR(INDEX(Jalons!$M$4:$M$103,MATCH($A111,Jalons!$A$4:$A$103,0)),""))</f>
        <v/>
      </c>
      <c r="F111" s="13">
        <f>IF($A111="","",IFERROR(INDEX(Jalons!$R$4:$R$103,MATCH($A111,Jalons!$A$4:$A$103,0)),""))</f>
        <v/>
      </c>
    </row>
    <row r="112" ht="24" customHeight="1">
      <c r="A112" s="14">
        <f>IFERROR(INDEX(Jalons!$A$4:$A$103,AGGREGATE(15,6,(ROW(Jalons!$A$4:$A$103)-ROW(Jalons!$A$4)+1)/((Jalons!$B$4:$B$103=Paramètres!$B$3)*(Jalons!$R$4:$R$103&lt;&gt;"")*(Jalons!$R$4:$R$103&lt;&gt;"OK")),100)),"")</f>
        <v/>
      </c>
      <c r="B112" s="14">
        <f>IF($A112="","",IFERROR(INDEX(Jalons!$E$4:$E$103,MATCH($A112,Jalons!$A$4:$A$103,0)),""))</f>
        <v/>
      </c>
      <c r="C112" s="14">
        <f>IF($A112="","",IFERROR(INDEX(Jalons!$G$4:$G$103,MATCH($A112,Jalons!$A$4:$A$103,0)),""))</f>
        <v/>
      </c>
      <c r="D112" s="15">
        <f>IF($A112="","",IFERROR(IF(INDEX(Jalons!$J$4:$J$103,MATCH($A112,Jalons!$A$4:$A$103,0))=0,"",INDEX(Jalons!$J$4:$J$103,MATCH($A112,Jalons!$A$4:$A$103,0))),""))</f>
        <v/>
      </c>
      <c r="E112" s="16">
        <f>IF($A112="","",IFERROR(INDEX(Jalons!$M$4:$M$103,MATCH($A112,Jalons!$A$4:$A$103,0)),""))</f>
        <v/>
      </c>
      <c r="F112" s="16">
        <f>IF($A112="","",IFERROR(INDEX(Jalons!$R$4:$R$103,MATCH($A112,Jalons!$A$4:$A$103,0)),""))</f>
        <v/>
      </c>
    </row>
  </sheetData>
  <mergeCells count="1">
    <mergeCell ref="A1:F1"/>
  </mergeCells>
  <conditionalFormatting sqref="B10:F10">
    <cfRule type="expression" priority="1" dxfId="0">
      <formula>$B$10="ARBITRAGE"</formula>
    </cfRule>
    <cfRule type="expression" priority="2" dxfId="1">
      <formula>$B$10="ATTENTE"</formula>
    </cfRule>
    <cfRule type="expression" priority="3" dxfId="2">
      <formula>$B$10="PASSAGE AUTORISÉ"</formula>
    </cfRule>
    <cfRule type="expression" priority="4" dxfId="3">
      <formula>$B$10="AUCUN JALON CRITIQUE"</formula>
    </cfRule>
  </conditionalFormatting>
  <conditionalFormatting sqref="F13:F112">
    <cfRule type="expression" priority="5" dxfId="0">
      <formula>OR($F13="ARBITRAGE",$F13="BLOCAGE",$F13="EN RETARD")</formula>
    </cfRule>
    <cfRule type="expression" priority="6" dxfId="1">
      <formula>OR($F13="À ÉCHÉANCE",$F13="DATE MANQUANTE")</formula>
    </cfRule>
    <cfRule type="expression" priority="7" dxfId="2">
      <formula>$F13="OK"</formula>
    </cfRule>
  </conditionalFormatting>
  <conditionalFormatting sqref="E13:E112">
    <cfRule type="expression" priority="8" dxfId="3">
      <formula>$E13="Sans objet"</formula>
    </cfRule>
  </conditionalFormatting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FFDF5149"/>
    <outlinePr summaryBelow="1" summaryRight="1"/>
    <pageSetUpPr/>
  </sheetPr>
  <dimension ref="A1:I10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5" customWidth="1" min="2" max="2"/>
    <col width="3" customWidth="1" min="3" max="3"/>
    <col width="25" customWidth="1" min="4" max="4"/>
    <col width="19" customWidth="1" min="5" max="5"/>
    <col width="25" customWidth="1" min="6" max="6"/>
    <col width="14" customWidth="1" min="7" max="7"/>
    <col width="18" customWidth="1" min="8" max="8"/>
    <col width="29" customWidth="1" min="9" max="9"/>
  </cols>
  <sheetData>
    <row r="1" ht="28" customHeight="1">
      <c r="A1" s="1" t="inlineStr">
        <is>
          <t>Paramètres de validation des jalons</t>
        </is>
      </c>
      <c r="B1" s="23" t="n"/>
      <c r="C1" s="23" t="n"/>
      <c r="D1" s="23" t="n"/>
      <c r="E1" s="23" t="n"/>
      <c r="F1" s="23" t="n"/>
      <c r="G1" s="23" t="n"/>
      <c r="H1" s="23" t="n"/>
      <c r="I1" s="24" t="n"/>
    </row>
    <row r="2" ht="23" customHeight="1">
      <c r="A2" s="3" t="inlineStr">
        <is>
          <t>Date de référence</t>
        </is>
      </c>
      <c r="B2" s="17" t="n">
        <v>46273</v>
      </c>
      <c r="D2" s="10" t="inlineStr">
        <is>
          <t>Types d’événement</t>
        </is>
      </c>
      <c r="E2" s="10" t="inlineStr">
        <is>
          <t>Phases</t>
        </is>
      </c>
      <c r="F2" s="10" t="inlineStr">
        <is>
          <t>Rôles</t>
        </is>
      </c>
      <c r="G2" s="10" t="inlineStr">
        <is>
          <t>Oui / Non</t>
        </is>
      </c>
      <c r="H2" s="10" t="inlineStr">
        <is>
          <t>Statuts</t>
        </is>
      </c>
      <c r="I2" s="10" t="inlineStr">
        <is>
          <t>Événements</t>
        </is>
      </c>
    </row>
    <row r="3" ht="23" customHeight="1">
      <c r="A3" s="3" t="inlineStr">
        <is>
          <t>Événement analysé</t>
        </is>
      </c>
      <c r="B3" s="18" t="inlineStr">
        <is>
          <t>Événement Démo Horizon</t>
        </is>
      </c>
      <c r="D3" s="19" t="inlineStr">
        <is>
          <t>Séminaire interne</t>
        </is>
      </c>
      <c r="E3" s="19" t="inlineStr">
        <is>
          <t>Cadrage</t>
        </is>
      </c>
      <c r="F3" s="19" t="inlineStr">
        <is>
          <t>Chef de projet</t>
        </is>
      </c>
      <c r="G3" s="19" t="inlineStr">
        <is>
          <t>Oui</t>
        </is>
      </c>
      <c r="H3" s="19" t="inlineStr">
        <is>
          <t>À préparer</t>
        </is>
      </c>
      <c r="I3" s="19" t="inlineStr">
        <is>
          <t>Événement Démo Horizon</t>
        </is>
      </c>
    </row>
    <row r="4" ht="23" customHeight="1">
      <c r="A4" s="3" t="inlineStr">
        <is>
          <t>Délai d’alerte (jours)</t>
        </is>
      </c>
      <c r="B4" s="20" t="n">
        <v>7</v>
      </c>
      <c r="D4" s="19" t="inlineStr">
        <is>
          <t>Conférence métier</t>
        </is>
      </c>
      <c r="E4" s="19" t="inlineStr">
        <is>
          <t>Conception</t>
        </is>
      </c>
      <c r="F4" s="19" t="inlineStr">
        <is>
          <t>Direction de projet</t>
        </is>
      </c>
      <c r="G4" s="19" t="inlineStr">
        <is>
          <t>Non</t>
        </is>
      </c>
      <c r="H4" s="19" t="inlineStr">
        <is>
          <t>Soumis</t>
        </is>
      </c>
      <c r="I4" s="19" t="inlineStr">
        <is>
          <t>Événement Fictif Boréal</t>
        </is>
      </c>
    </row>
    <row r="5" ht="23" customHeight="1">
      <c r="D5" s="19" t="inlineStr">
        <is>
          <t>Convention professionnelle</t>
        </is>
      </c>
      <c r="E5" s="19" t="inlineStr">
        <is>
          <t>Programme</t>
        </is>
      </c>
      <c r="F5" s="19" t="inlineStr">
        <is>
          <t>Référent programme</t>
        </is>
      </c>
      <c r="G5" s="19" t="n"/>
      <c r="H5" s="19" t="inlineStr">
        <is>
          <t>Validé</t>
        </is>
      </c>
      <c r="I5" s="19" t="inlineStr">
        <is>
          <t>Convention Démo Azur</t>
        </is>
      </c>
    </row>
    <row r="6" ht="23" customHeight="1">
      <c r="D6" s="19" t="inlineStr">
        <is>
          <t>Atelier de direction</t>
        </is>
      </c>
      <c r="E6" s="19" t="inlineStr">
        <is>
          <t>Logistique</t>
        </is>
      </c>
      <c r="F6" s="19" t="inlineStr">
        <is>
          <t>Référent communication</t>
        </is>
      </c>
      <c r="G6" s="19" t="n"/>
      <c r="H6" s="19" t="inlineStr">
        <is>
          <t>Refusé</t>
        </is>
      </c>
      <c r="I6" s="19" t="n"/>
    </row>
    <row r="7" ht="42" customHeight="1">
      <c r="A7" s="3" t="inlineStr">
        <is>
          <t>Usage</t>
        </is>
      </c>
      <c r="B7" s="14" t="inlineStr">
        <is>
          <t>Le résultat guide une décision interne de projet. Il ne constitue ni un engagement contractuel ni une appréciation de conformité.</t>
        </is>
      </c>
      <c r="D7" s="19" t="n"/>
      <c r="E7" s="19" t="inlineStr">
        <is>
          <t>Technique</t>
        </is>
      </c>
      <c r="F7" s="19" t="inlineStr">
        <is>
          <t>Référent technique</t>
        </is>
      </c>
      <c r="G7" s="19" t="n"/>
      <c r="H7" s="19" t="inlineStr">
        <is>
          <t>Sans objet</t>
        </is>
      </c>
      <c r="I7" s="19" t="n"/>
    </row>
    <row r="8" ht="48" customHeight="1">
      <c r="A8" s="3" t="inlineStr">
        <is>
          <t>Mise à jour</t>
        </is>
      </c>
      <c r="B8" s="14" t="inlineStr">
        <is>
          <t>Modifier la date de référence, l’événement analysé et le délai d’alerte pour actualiser les alertes et la décision.</t>
        </is>
      </c>
      <c r="D8" s="19" t="n"/>
      <c r="E8" s="19" t="inlineStr">
        <is>
          <t>Production</t>
        </is>
      </c>
      <c r="F8" s="19" t="inlineStr">
        <is>
          <t>Référent logistique</t>
        </is>
      </c>
      <c r="G8" s="19" t="n"/>
      <c r="H8" s="19" t="n"/>
      <c r="I8" s="19" t="n"/>
    </row>
    <row r="9" ht="38" customHeight="1">
      <c r="A9" s="3" t="inlineStr">
        <is>
          <t>Listes</t>
        </is>
      </c>
      <c r="B9" s="14" t="inlineStr">
        <is>
          <t>Les valeurs jaunes peuvent être adaptées avant la saisie des jalons. Conserver des libellés uniques.</t>
        </is>
      </c>
      <c r="D9" s="19" t="n"/>
      <c r="E9" s="19" t="inlineStr">
        <is>
          <t>Clôture</t>
        </is>
      </c>
      <c r="F9" s="19" t="inlineStr">
        <is>
          <t>Contrôle interne</t>
        </is>
      </c>
      <c r="G9" s="19" t="n"/>
      <c r="H9" s="19" t="n"/>
      <c r="I9" s="19" t="n"/>
    </row>
    <row r="10" ht="23" customHeight="1">
      <c r="D10" s="19" t="n"/>
      <c r="E10" s="19" t="n"/>
      <c r="F10" s="19" t="inlineStr">
        <is>
          <t>Comité de validation</t>
        </is>
      </c>
      <c r="G10" s="19" t="n"/>
      <c r="H10" s="19" t="n"/>
      <c r="I10" s="19" t="n"/>
    </row>
  </sheetData>
  <autoFilter ref="D2:I10"/>
  <mergeCells count="1">
    <mergeCell ref="A1:I1"/>
  </mergeCells>
  <dataValidations count="3">
    <dataValidation sqref="B2" showDropDown="0" showInputMessage="1" showErrorMessage="1" allowBlank="0" errorTitle="Date non autorisée" error="Saisissez une date comprise entre le 01/01/2025 et le 31/12/2035." promptTitle="Date de référence" prompt="Date utilisée pour calculer les jours restants." type="date" operator="between">
      <formula1>DATE(2025,1,1)</formula1>
      <formula2>DATE(2035,12,31)</formula2>
    </dataValidation>
    <dataValidation sqref="B3" showDropDown="0" showInputMessage="0" showErrorMessage="1" allowBlank="0" errorTitle="Événement non reconnu" error="Sélectionnez un événement dans la liste." type="list">
      <formula1>$I$3:$I$5</formula1>
    </dataValidation>
    <dataValidation sqref="B4" showDropDown="0" showInputMessage="1" showErrorMessage="1" allowBlank="0" errorTitle="Délai non autorisé" error="Saisissez un nombre entier compris entre 0 et 90 jours." promptTitle="Délai d’alerte" prompt="Nombre de jours avant la date cible déclenchant l’alerte." type="whole" operator="between">
      <formula1>0</formula1>
      <formula2>90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FF352646"/>
    <outlinePr summaryBelow="1" summaryRight="1"/>
    <pageSetUpPr fitToPage="1"/>
  </sheetPr>
  <dimension ref="A1:R103"/>
  <sheetViews>
    <sheetView showGridLines="0" zoomScale="7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7" customWidth="1" min="2" max="2"/>
    <col width="25" customWidth="1" min="3" max="3"/>
    <col width="18" customWidth="1" min="4" max="4"/>
    <col width="29" customWidth="1" min="5" max="5"/>
    <col width="31" customWidth="1" min="6" max="6"/>
    <col width="23" customWidth="1" min="7" max="7"/>
    <col width="23" customWidth="1" min="8" max="8"/>
    <col width="17" customWidth="1" min="9" max="9"/>
    <col width="14" customWidth="1" min="10" max="10"/>
    <col width="11" customWidth="1" min="11" max="11"/>
    <col width="17" customWidth="1" min="12" max="12"/>
    <col width="20" customWidth="1" min="13" max="13"/>
    <col width="17" customWidth="1" min="14" max="14"/>
    <col width="38" customWidth="1" min="15" max="15"/>
    <col width="15" customWidth="1" min="16" max="16"/>
    <col width="22" customWidth="1" min="17" max="17"/>
    <col width="18" customWidth="1" min="18" max="18"/>
  </cols>
  <sheetData>
    <row r="1" ht="28" customHeight="1">
      <c r="A1" s="1" t="inlineStr">
        <is>
          <t>Jalons et validations de l’événement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3" t="n"/>
      <c r="R1" s="24" t="n"/>
    </row>
    <row r="2" ht="25" customHeight="1">
      <c r="A2" s="2" t="inlineStr">
        <is>
          <t>Saisies modifiables en jaune. Les colonnes Jours restants, Dépendance validée et Alerte sont calculées automatiquement.</t>
        </is>
      </c>
    </row>
    <row r="3" ht="40" customHeight="1">
      <c r="A3" s="10" t="inlineStr">
        <is>
          <t>ID jalon</t>
        </is>
      </c>
      <c r="B3" s="10" t="inlineStr">
        <is>
          <t>Événement</t>
        </is>
      </c>
      <c r="C3" s="10" t="inlineStr">
        <is>
          <t>Type d’événement</t>
        </is>
      </c>
      <c r="D3" s="10" t="inlineStr">
        <is>
          <t>Phase</t>
        </is>
      </c>
      <c r="E3" s="10" t="inlineStr">
        <is>
          <t>Jalon</t>
        </is>
      </c>
      <c r="F3" s="10" t="inlineStr">
        <is>
          <t>Livrable attendu</t>
        </is>
      </c>
      <c r="G3" s="10" t="inlineStr">
        <is>
          <t>Rôle responsable</t>
        </is>
      </c>
      <c r="H3" s="10" t="inlineStr">
        <is>
          <t>Rôle validateur</t>
        </is>
      </c>
      <c r="I3" s="10" t="inlineStr">
        <is>
          <t>ID dépendance</t>
        </is>
      </c>
      <c r="J3" s="10" t="inlineStr">
        <is>
          <t>Date cible</t>
        </is>
      </c>
      <c r="K3" s="10" t="inlineStr">
        <is>
          <t>Critique</t>
        </is>
      </c>
      <c r="L3" s="10" t="inlineStr">
        <is>
          <t>Date de soumission</t>
        </is>
      </c>
      <c r="M3" s="10" t="inlineStr">
        <is>
          <t>Statut de validation</t>
        </is>
      </c>
      <c r="N3" s="10" t="inlineStr">
        <is>
          <t>Date de validation</t>
        </is>
      </c>
      <c r="O3" s="10" t="inlineStr">
        <is>
          <t>Commentaire</t>
        </is>
      </c>
      <c r="P3" s="10" t="inlineStr">
        <is>
          <t>Jours restants</t>
        </is>
      </c>
      <c r="Q3" s="10" t="inlineStr">
        <is>
          <t>Dépendance validée</t>
        </is>
      </c>
      <c r="R3" s="10" t="inlineStr">
        <is>
          <t>Alerte</t>
        </is>
      </c>
    </row>
    <row r="4" ht="30" customHeight="1">
      <c r="A4" s="19" t="inlineStr">
        <is>
          <t>DEMO-J001</t>
        </is>
      </c>
      <c r="B4" s="19" t="inlineStr">
        <is>
          <t>Événement Démo Horizon</t>
        </is>
      </c>
      <c r="C4" s="19" t="inlineStr">
        <is>
          <t>Convention professionnelle</t>
        </is>
      </c>
      <c r="D4" s="19" t="inlineStr">
        <is>
          <t>Cadrage</t>
        </is>
      </c>
      <c r="E4" s="19" t="inlineStr">
        <is>
          <t>Cadrage du projet</t>
        </is>
      </c>
      <c r="F4" s="19" t="inlineStr">
        <is>
          <t>Note de cadrage interne approuvée</t>
        </is>
      </c>
      <c r="G4" s="19" t="inlineStr">
        <is>
          <t>Chef de projet</t>
        </is>
      </c>
      <c r="H4" s="19" t="inlineStr">
        <is>
          <t>Direction de projet</t>
        </is>
      </c>
      <c r="I4" s="19" t="inlineStr"/>
      <c r="J4" s="17" t="n">
        <v>46280</v>
      </c>
      <c r="K4" s="18" t="inlineStr">
        <is>
          <t>Oui</t>
        </is>
      </c>
      <c r="L4" s="17" t="n">
        <v>46273</v>
      </c>
      <c r="M4" s="18" t="inlineStr">
        <is>
          <t>Validé</t>
        </is>
      </c>
      <c r="N4" s="17" t="n">
        <v>46274</v>
      </c>
      <c r="O4" s="19" t="inlineStr">
        <is>
          <t>Objectifs et périmètre internes confirmés.</t>
        </is>
      </c>
      <c r="P4" s="21">
        <f>IF($J4="","",IF($M4="Validé",0,$J4-Paramètres!$B$2))</f>
        <v/>
      </c>
      <c r="Q4" s="13">
        <f>IF($I4="","Sans dépendance",IFERROR(IF(INDEX('Jalons'!$M$4:$M$103,MATCH($I4,'Jalons'!$A$4:$A$103,0))="Validé","Oui","Non"),"ID introuvable"))</f>
        <v/>
      </c>
      <c r="R4" s="13">
        <f>IF($A4="","",IF($M4="Refusé","ARBITRAGE",IF(AND($Q4&lt;&gt;"Oui",$Q4&lt;&gt;"Sans dépendance"),"BLOCAGE",IF($M4="Validé","OK",IF($J4="","DATE MANQUANTE",IF($P4&lt;0,"EN RETARD",IF($P4&lt;=Paramètres!$B$4,"À ÉCHÉANCE","À SUIVRE")))))))</f>
        <v/>
      </c>
    </row>
    <row r="5" ht="30" customHeight="1">
      <c r="A5" s="19" t="inlineStr">
        <is>
          <t>DEMO-J002</t>
        </is>
      </c>
      <c r="B5" s="19" t="inlineStr">
        <is>
          <t>Événement Démo Horizon</t>
        </is>
      </c>
      <c r="C5" s="19" t="inlineStr">
        <is>
          <t>Convention professionnelle</t>
        </is>
      </c>
      <c r="D5" s="19" t="inlineStr">
        <is>
          <t>Conception</t>
        </is>
      </c>
      <c r="E5" s="19" t="inlineStr">
        <is>
          <t>Validation du format</t>
        </is>
      </c>
      <c r="F5" s="19" t="inlineStr">
        <is>
          <t>Fiche de format et séquencement</t>
        </is>
      </c>
      <c r="G5" s="19" t="inlineStr">
        <is>
          <t>Chef de projet</t>
        </is>
      </c>
      <c r="H5" s="19" t="inlineStr">
        <is>
          <t>Comité de validation</t>
        </is>
      </c>
      <c r="I5" s="19" t="inlineStr">
        <is>
          <t>DEMO-J001</t>
        </is>
      </c>
      <c r="J5" s="17" t="n">
        <v>46285</v>
      </c>
      <c r="K5" s="18" t="inlineStr">
        <is>
          <t>Oui</t>
        </is>
      </c>
      <c r="L5" s="17" t="n">
        <v>46277</v>
      </c>
      <c r="M5" s="18" t="inlineStr">
        <is>
          <t>Validé</t>
        </is>
      </c>
      <c r="N5" s="17" t="n">
        <v>46279</v>
      </c>
      <c r="O5" s="19" t="inlineStr">
        <is>
          <t>Format plénier et ateliers retenu.</t>
        </is>
      </c>
      <c r="P5" s="22">
        <f>IF($J5="","",IF($M5="Validé",0,$J5-Paramètres!$B$2))</f>
        <v/>
      </c>
      <c r="Q5" s="16">
        <f>IF($I5="","Sans dépendance",IFERROR(IF(INDEX('Jalons'!$M$4:$M$103,MATCH($I5,'Jalons'!$A$4:$A$103,0))="Validé","Oui","Non"),"ID introuvable"))</f>
        <v/>
      </c>
      <c r="R5" s="16">
        <f>IF($A5="","",IF($M5="Refusé","ARBITRAGE",IF(AND($Q5&lt;&gt;"Oui",$Q5&lt;&gt;"Sans dépendance"),"BLOCAGE",IF($M5="Validé","OK",IF($J5="","DATE MANQUANTE",IF($P5&lt;0,"EN RETARD",IF($P5&lt;=Paramètres!$B$4,"À ÉCHÉANCE","À SUIVRE")))))))</f>
        <v/>
      </c>
    </row>
    <row r="6" ht="30" customHeight="1">
      <c r="A6" s="19" t="inlineStr">
        <is>
          <t>DEMO-J003</t>
        </is>
      </c>
      <c r="B6" s="19" t="inlineStr">
        <is>
          <t>Événement Démo Horizon</t>
        </is>
      </c>
      <c r="C6" s="19" t="inlineStr">
        <is>
          <t>Convention professionnelle</t>
        </is>
      </c>
      <c r="D6" s="19" t="inlineStr">
        <is>
          <t>Programme</t>
        </is>
      </c>
      <c r="E6" s="19" t="inlineStr">
        <is>
          <t>Programme éditorial</t>
        </is>
      </c>
      <c r="F6" s="19" t="inlineStr">
        <is>
          <t>Version soumise du programme</t>
        </is>
      </c>
      <c r="G6" s="19" t="inlineStr">
        <is>
          <t>Référent programme</t>
        </is>
      </c>
      <c r="H6" s="19" t="inlineStr">
        <is>
          <t>Comité de validation</t>
        </is>
      </c>
      <c r="I6" s="19" t="inlineStr">
        <is>
          <t>DEMO-J002</t>
        </is>
      </c>
      <c r="J6" s="17" t="n">
        <v>46295</v>
      </c>
      <c r="K6" s="18" t="inlineStr">
        <is>
          <t>Oui</t>
        </is>
      </c>
      <c r="L6" s="17" t="n">
        <v>46291</v>
      </c>
      <c r="M6" s="18" t="inlineStr">
        <is>
          <t>Soumis</t>
        </is>
      </c>
      <c r="N6" s="17" t="inlineStr"/>
      <c r="O6" s="19" t="inlineStr">
        <is>
          <t>Relecture interne en cours.</t>
        </is>
      </c>
      <c r="P6" s="21">
        <f>IF($J6="","",IF($M6="Validé",0,$J6-Paramètres!$B$2))</f>
        <v/>
      </c>
      <c r="Q6" s="13">
        <f>IF($I6="","Sans dépendance",IFERROR(IF(INDEX('Jalons'!$M$4:$M$103,MATCH($I6,'Jalons'!$A$4:$A$103,0))="Validé","Oui","Non"),"ID introuvable"))</f>
        <v/>
      </c>
      <c r="R6" s="13">
        <f>IF($A6="","",IF($M6="Refusé","ARBITRAGE",IF(AND($Q6&lt;&gt;"Oui",$Q6&lt;&gt;"Sans dépendance"),"BLOCAGE",IF($M6="Validé","OK",IF($J6="","DATE MANQUANTE",IF($P6&lt;0,"EN RETARD",IF($P6&lt;=Paramètres!$B$4,"À ÉCHÉANCE","À SUIVRE")))))))</f>
        <v/>
      </c>
    </row>
    <row r="7" ht="30" customHeight="1">
      <c r="A7" s="19" t="inlineStr">
        <is>
          <t>DEMO-J004</t>
        </is>
      </c>
      <c r="B7" s="19" t="inlineStr">
        <is>
          <t>Événement Démo Horizon</t>
        </is>
      </c>
      <c r="C7" s="19" t="inlineStr">
        <is>
          <t>Convention professionnelle</t>
        </is>
      </c>
      <c r="D7" s="19" t="inlineStr">
        <is>
          <t>Programme</t>
        </is>
      </c>
      <c r="E7" s="19" t="inlineStr">
        <is>
          <t>Intervenants internes</t>
        </is>
      </c>
      <c r="F7" s="19" t="inlineStr">
        <is>
          <t>Répartition fictive des prises de parole</t>
        </is>
      </c>
      <c r="G7" s="19" t="inlineStr">
        <is>
          <t>Référent programme</t>
        </is>
      </c>
      <c r="H7" s="19" t="inlineStr">
        <is>
          <t>Direction de projet</t>
        </is>
      </c>
      <c r="I7" s="19" t="inlineStr">
        <is>
          <t>DEMO-J003</t>
        </is>
      </c>
      <c r="J7" s="17" t="n">
        <v>46305</v>
      </c>
      <c r="K7" s="18" t="inlineStr">
        <is>
          <t>Non</t>
        </is>
      </c>
      <c r="L7" s="17" t="inlineStr"/>
      <c r="M7" s="18" t="inlineStr">
        <is>
          <t>À préparer</t>
        </is>
      </c>
      <c r="N7" s="17" t="inlineStr"/>
      <c r="O7" s="19" t="inlineStr">
        <is>
          <t>À consolider après validation du programme.</t>
        </is>
      </c>
      <c r="P7" s="22">
        <f>IF($J7="","",IF($M7="Validé",0,$J7-Paramètres!$B$2))</f>
        <v/>
      </c>
      <c r="Q7" s="16">
        <f>IF($I7="","Sans dépendance",IFERROR(IF(INDEX('Jalons'!$M$4:$M$103,MATCH($I7,'Jalons'!$A$4:$A$103,0))="Validé","Oui","Non"),"ID introuvable"))</f>
        <v/>
      </c>
      <c r="R7" s="16">
        <f>IF($A7="","",IF($M7="Refusé","ARBITRAGE",IF(AND($Q7&lt;&gt;"Oui",$Q7&lt;&gt;"Sans dépendance"),"BLOCAGE",IF($M7="Validé","OK",IF($J7="","DATE MANQUANTE",IF($P7&lt;0,"EN RETARD",IF($P7&lt;=Paramètres!$B$4,"À ÉCHÉANCE","À SUIVRE")))))))</f>
        <v/>
      </c>
    </row>
    <row r="8" ht="30" customHeight="1">
      <c r="A8" s="19" t="inlineStr">
        <is>
          <t>DEMO-J005</t>
        </is>
      </c>
      <c r="B8" s="19" t="inlineStr">
        <is>
          <t>Événement Démo Horizon</t>
        </is>
      </c>
      <c r="C8" s="19" t="inlineStr">
        <is>
          <t>Convention professionnelle</t>
        </is>
      </c>
      <c r="D8" s="19" t="inlineStr">
        <is>
          <t>Logistique</t>
        </is>
      </c>
      <c r="E8" s="19" t="inlineStr">
        <is>
          <t>Réservation de l’espace</t>
        </is>
      </c>
      <c r="F8" s="19" t="inlineStr">
        <is>
          <t>Confirmation interne de disponibilité</t>
        </is>
      </c>
      <c r="G8" s="19" t="inlineStr">
        <is>
          <t>Référent logistique</t>
        </is>
      </c>
      <c r="H8" s="19" t="inlineStr">
        <is>
          <t>Chef de projet</t>
        </is>
      </c>
      <c r="I8" s="19" t="inlineStr">
        <is>
          <t>DEMO-J002</t>
        </is>
      </c>
      <c r="J8" s="17" t="n">
        <v>46310</v>
      </c>
      <c r="K8" s="18" t="inlineStr">
        <is>
          <t>Oui</t>
        </is>
      </c>
      <c r="L8" s="17" t="n">
        <v>46296</v>
      </c>
      <c r="M8" s="18" t="inlineStr">
        <is>
          <t>Validé</t>
        </is>
      </c>
      <c r="N8" s="17" t="n">
        <v>46298</v>
      </c>
      <c r="O8" s="19" t="inlineStr">
        <is>
          <t>Espace fictif réservé pour la démonstration.</t>
        </is>
      </c>
      <c r="P8" s="21">
        <f>IF($J8="","",IF($M8="Validé",0,$J8-Paramètres!$B$2))</f>
        <v/>
      </c>
      <c r="Q8" s="13">
        <f>IF($I8="","Sans dépendance",IFERROR(IF(INDEX('Jalons'!$M$4:$M$103,MATCH($I8,'Jalons'!$A$4:$A$103,0))="Validé","Oui","Non"),"ID introuvable"))</f>
        <v/>
      </c>
      <c r="R8" s="13">
        <f>IF($A8="","",IF($M8="Refusé","ARBITRAGE",IF(AND($Q8&lt;&gt;"Oui",$Q8&lt;&gt;"Sans dépendance"),"BLOCAGE",IF($M8="Validé","OK",IF($J8="","DATE MANQUANTE",IF($P8&lt;0,"EN RETARD",IF($P8&lt;=Paramètres!$B$4,"À ÉCHÉANCE","À SUIVRE")))))))</f>
        <v/>
      </c>
    </row>
    <row r="9" ht="30" customHeight="1">
      <c r="A9" s="19" t="inlineStr">
        <is>
          <t>DEMO-J006</t>
        </is>
      </c>
      <c r="B9" s="19" t="inlineStr">
        <is>
          <t>Événement Démo Horizon</t>
        </is>
      </c>
      <c r="C9" s="19" t="inlineStr">
        <is>
          <t>Convention professionnelle</t>
        </is>
      </c>
      <c r="D9" s="19" t="inlineStr">
        <is>
          <t>Technique</t>
        </is>
      </c>
      <c r="E9" s="19" t="inlineStr">
        <is>
          <t>Besoins techniques</t>
        </is>
      </c>
      <c r="F9" s="19" t="inlineStr">
        <is>
          <t>Expression des besoins techniques</t>
        </is>
      </c>
      <c r="G9" s="19" t="inlineStr">
        <is>
          <t>Référent technique</t>
        </is>
      </c>
      <c r="H9" s="19" t="inlineStr">
        <is>
          <t>Chef de projet</t>
        </is>
      </c>
      <c r="I9" s="19" t="inlineStr">
        <is>
          <t>DEMO-J005</t>
        </is>
      </c>
      <c r="J9" s="17" t="n">
        <v>46320</v>
      </c>
      <c r="K9" s="18" t="inlineStr">
        <is>
          <t>Oui</t>
        </is>
      </c>
      <c r="L9" s="17" t="n">
        <v>46315</v>
      </c>
      <c r="M9" s="18" t="inlineStr">
        <is>
          <t>Soumis</t>
        </is>
      </c>
      <c r="N9" s="17" t="inlineStr"/>
      <c r="O9" s="19" t="inlineStr">
        <is>
          <t>Arbitrage interne des options en cours.</t>
        </is>
      </c>
      <c r="P9" s="22">
        <f>IF($J9="","",IF($M9="Validé",0,$J9-Paramètres!$B$2))</f>
        <v/>
      </c>
      <c r="Q9" s="16">
        <f>IF($I9="","Sans dépendance",IFERROR(IF(INDEX('Jalons'!$M$4:$M$103,MATCH($I9,'Jalons'!$A$4:$A$103,0))="Validé","Oui","Non"),"ID introuvable"))</f>
        <v/>
      </c>
      <c r="R9" s="16">
        <f>IF($A9="","",IF($M9="Refusé","ARBITRAGE",IF(AND($Q9&lt;&gt;"Oui",$Q9&lt;&gt;"Sans dépendance"),"BLOCAGE",IF($M9="Validé","OK",IF($J9="","DATE MANQUANTE",IF($P9&lt;0,"EN RETARD",IF($P9&lt;=Paramètres!$B$4,"À ÉCHÉANCE","À SUIVRE")))))))</f>
        <v/>
      </c>
    </row>
    <row r="10" ht="30" customHeight="1">
      <c r="A10" s="19" t="inlineStr">
        <is>
          <t>DEMO-J007</t>
        </is>
      </c>
      <c r="B10" s="19" t="inlineStr">
        <is>
          <t>Événement Démo Horizon</t>
        </is>
      </c>
      <c r="C10" s="19" t="inlineStr">
        <is>
          <t>Convention professionnelle</t>
        </is>
      </c>
      <c r="D10" s="19" t="inlineStr">
        <is>
          <t>Production</t>
        </is>
      </c>
      <c r="E10" s="19" t="inlineStr">
        <is>
          <t>Supports de présentation</t>
        </is>
      </c>
      <c r="F10" s="19" t="inlineStr">
        <is>
          <t>Gabarits et supports consolidés</t>
        </is>
      </c>
      <c r="G10" s="19" t="inlineStr">
        <is>
          <t>Référent communication</t>
        </is>
      </c>
      <c r="H10" s="19" t="inlineStr">
        <is>
          <t>Référent programme</t>
        </is>
      </c>
      <c r="I10" s="19" t="inlineStr">
        <is>
          <t>DEMO-J003</t>
        </is>
      </c>
      <c r="J10" s="17" t="n">
        <v>46331</v>
      </c>
      <c r="K10" s="18" t="inlineStr">
        <is>
          <t>Non</t>
        </is>
      </c>
      <c r="L10" s="17" t="inlineStr"/>
      <c r="M10" s="18" t="inlineStr">
        <is>
          <t>À préparer</t>
        </is>
      </c>
      <c r="N10" s="17" t="inlineStr"/>
      <c r="O10" s="19" t="inlineStr">
        <is>
          <t>Production à lancer après stabilisation des contenus.</t>
        </is>
      </c>
      <c r="P10" s="21">
        <f>IF($J10="","",IF($M10="Validé",0,$J10-Paramètres!$B$2))</f>
        <v/>
      </c>
      <c r="Q10" s="13">
        <f>IF($I10="","Sans dépendance",IFERROR(IF(INDEX('Jalons'!$M$4:$M$103,MATCH($I10,'Jalons'!$A$4:$A$103,0))="Validé","Oui","Non"),"ID introuvable"))</f>
        <v/>
      </c>
      <c r="R10" s="13">
        <f>IF($A10="","",IF($M10="Refusé","ARBITRAGE",IF(AND($Q10&lt;&gt;"Oui",$Q10&lt;&gt;"Sans dépendance"),"BLOCAGE",IF($M10="Validé","OK",IF($J10="","DATE MANQUANTE",IF($P10&lt;0,"EN RETARD",IF($P10&lt;=Paramètres!$B$4,"À ÉCHÉANCE","À SUIVRE")))))))</f>
        <v/>
      </c>
    </row>
    <row r="11" ht="30" customHeight="1">
      <c r="A11" s="19" t="inlineStr">
        <is>
          <t>DEMO-J008</t>
        </is>
      </c>
      <c r="B11" s="19" t="inlineStr">
        <is>
          <t>Événement Démo Horizon</t>
        </is>
      </c>
      <c r="C11" s="19" t="inlineStr">
        <is>
          <t>Convention professionnelle</t>
        </is>
      </c>
      <c r="D11" s="19" t="inlineStr">
        <is>
          <t>Production</t>
        </is>
      </c>
      <c r="E11" s="19" t="inlineStr">
        <is>
          <t>Déroulé final</t>
        </is>
      </c>
      <c r="F11" s="19" t="inlineStr">
        <is>
          <t>Conducteur interne minute par minute</t>
        </is>
      </c>
      <c r="G11" s="19" t="inlineStr">
        <is>
          <t>Chef de projet</t>
        </is>
      </c>
      <c r="H11" s="19" t="inlineStr">
        <is>
          <t>Comité de validation</t>
        </is>
      </c>
      <c r="I11" s="19" t="inlineStr">
        <is>
          <t>DEMO-J003</t>
        </is>
      </c>
      <c r="J11" s="17" t="n">
        <v>46341</v>
      </c>
      <c r="K11" s="18" t="inlineStr">
        <is>
          <t>Oui</t>
        </is>
      </c>
      <c r="L11" s="17" t="inlineStr"/>
      <c r="M11" s="18" t="inlineStr">
        <is>
          <t>À préparer</t>
        </is>
      </c>
      <c r="N11" s="17" t="inlineStr"/>
      <c r="O11" s="19" t="inlineStr">
        <is>
          <t>Dépend du programme éditorial.</t>
        </is>
      </c>
      <c r="P11" s="22">
        <f>IF($J11="","",IF($M11="Validé",0,$J11-Paramètres!$B$2))</f>
        <v/>
      </c>
      <c r="Q11" s="16">
        <f>IF($I11="","Sans dépendance",IFERROR(IF(INDEX('Jalons'!$M$4:$M$103,MATCH($I11,'Jalons'!$A$4:$A$103,0))="Validé","Oui","Non"),"ID introuvable"))</f>
        <v/>
      </c>
      <c r="R11" s="16">
        <f>IF($A11="","",IF($M11="Refusé","ARBITRAGE",IF(AND($Q11&lt;&gt;"Oui",$Q11&lt;&gt;"Sans dépendance"),"BLOCAGE",IF($M11="Validé","OK",IF($J11="","DATE MANQUANTE",IF($P11&lt;0,"EN RETARD",IF($P11&lt;=Paramètres!$B$4,"À ÉCHÉANCE","À SUIVRE")))))))</f>
        <v/>
      </c>
    </row>
    <row r="12" ht="30" customHeight="1">
      <c r="A12" s="19" t="inlineStr">
        <is>
          <t>DEMO-J009</t>
        </is>
      </c>
      <c r="B12" s="19" t="inlineStr">
        <is>
          <t>Événement Démo Horizon</t>
        </is>
      </c>
      <c r="C12" s="19" t="inlineStr">
        <is>
          <t>Convention professionnelle</t>
        </is>
      </c>
      <c r="D12" s="19" t="inlineStr">
        <is>
          <t>Production</t>
        </is>
      </c>
      <c r="E12" s="19" t="inlineStr">
        <is>
          <t>Répétition générale</t>
        </is>
      </c>
      <c r="F12" s="19" t="inlineStr">
        <is>
          <t>Compte rendu de répétition</t>
        </is>
      </c>
      <c r="G12" s="19" t="inlineStr">
        <is>
          <t>Chef de projet</t>
        </is>
      </c>
      <c r="H12" s="19" t="inlineStr">
        <is>
          <t>Direction de projet</t>
        </is>
      </c>
      <c r="I12" s="19" t="inlineStr">
        <is>
          <t>DEMO-J008</t>
        </is>
      </c>
      <c r="J12" s="17" t="n">
        <v>46346</v>
      </c>
      <c r="K12" s="18" t="inlineStr">
        <is>
          <t>Oui</t>
        </is>
      </c>
      <c r="L12" s="17" t="n">
        <v>46344</v>
      </c>
      <c r="M12" s="18" t="inlineStr">
        <is>
          <t>Soumis</t>
        </is>
      </c>
      <c r="N12" s="17" t="inlineStr"/>
      <c r="O12" s="19" t="inlineStr">
        <is>
          <t>Soumission enregistrée sans date de validation.</t>
        </is>
      </c>
      <c r="P12" s="21">
        <f>IF($J12="","",IF($M12="Validé",0,$J12-Paramètres!$B$2))</f>
        <v/>
      </c>
      <c r="Q12" s="13">
        <f>IF($I12="","Sans dépendance",IFERROR(IF(INDEX('Jalons'!$M$4:$M$103,MATCH($I12,'Jalons'!$A$4:$A$103,0))="Validé","Oui","Non"),"ID introuvable"))</f>
        <v/>
      </c>
      <c r="R12" s="13">
        <f>IF($A12="","",IF($M12="Refusé","ARBITRAGE",IF(AND($Q12&lt;&gt;"Oui",$Q12&lt;&gt;"Sans dépendance"),"BLOCAGE",IF($M12="Validé","OK",IF($J12="","DATE MANQUANTE",IF($P12&lt;0,"EN RETARD",IF($P12&lt;=Paramètres!$B$4,"À ÉCHÉANCE","À SUIVRE")))))))</f>
        <v/>
      </c>
    </row>
    <row r="13" ht="30" customHeight="1">
      <c r="A13" s="19" t="inlineStr">
        <is>
          <t>DEMO-J010</t>
        </is>
      </c>
      <c r="B13" s="19" t="inlineStr">
        <is>
          <t>Événement Démo Horizon</t>
        </is>
      </c>
      <c r="C13" s="19" t="inlineStr">
        <is>
          <t>Convention professionnelle</t>
        </is>
      </c>
      <c r="D13" s="19" t="inlineStr">
        <is>
          <t>Clôture</t>
        </is>
      </c>
      <c r="E13" s="19" t="inlineStr">
        <is>
          <t>Bilan interne</t>
        </is>
      </c>
      <c r="F13" s="19" t="inlineStr">
        <is>
          <t>Synthèse des enseignements du projet</t>
        </is>
      </c>
      <c r="G13" s="19" t="inlineStr">
        <is>
          <t>Chef de projet</t>
        </is>
      </c>
      <c r="H13" s="19" t="inlineStr">
        <is>
          <t>Direction de projet</t>
        </is>
      </c>
      <c r="I13" s="19" t="inlineStr">
        <is>
          <t>DEMO-J009</t>
        </is>
      </c>
      <c r="J13" s="17" t="n">
        <v>46356</v>
      </c>
      <c r="K13" s="18" t="inlineStr">
        <is>
          <t>Non</t>
        </is>
      </c>
      <c r="L13" s="17" t="inlineStr"/>
      <c r="M13" s="18" t="inlineStr">
        <is>
          <t>À préparer</t>
        </is>
      </c>
      <c r="N13" s="17" t="inlineStr"/>
      <c r="O13" s="19" t="inlineStr">
        <is>
          <t>Bilan prévu après la tenue de l’événement fictif.</t>
        </is>
      </c>
      <c r="P13" s="22">
        <f>IF($J13="","",IF($M13="Validé",0,$J13-Paramètres!$B$2))</f>
        <v/>
      </c>
      <c r="Q13" s="16">
        <f>IF($I13="","Sans dépendance",IFERROR(IF(INDEX('Jalons'!$M$4:$M$103,MATCH($I13,'Jalons'!$A$4:$A$103,0))="Validé","Oui","Non"),"ID introuvable"))</f>
        <v/>
      </c>
      <c r="R13" s="16">
        <f>IF($A13="","",IF($M13="Refusé","ARBITRAGE",IF(AND($Q13&lt;&gt;"Oui",$Q13&lt;&gt;"Sans dépendance"),"BLOCAGE",IF($M13="Validé","OK",IF($J13="","DATE MANQUANTE",IF($P13&lt;0,"EN RETARD",IF($P13&lt;=Paramètres!$B$4,"À ÉCHÉANCE","À SUIVRE")))))))</f>
        <v/>
      </c>
    </row>
    <row r="14" ht="23" customHeight="1">
      <c r="A14" s="19" t="n"/>
      <c r="B14" s="19" t="n"/>
      <c r="C14" s="19" t="n"/>
      <c r="D14" s="19" t="n"/>
      <c r="E14" s="19" t="n"/>
      <c r="F14" s="19" t="n"/>
      <c r="G14" s="19" t="n"/>
      <c r="H14" s="19" t="n"/>
      <c r="I14" s="19" t="n"/>
      <c r="J14" s="17" t="n"/>
      <c r="K14" s="18" t="n"/>
      <c r="L14" s="17" t="n"/>
      <c r="M14" s="18" t="n"/>
      <c r="N14" s="17" t="n"/>
      <c r="O14" s="19" t="n"/>
      <c r="P14" s="21">
        <f>IF($J14="","",IF($M14="Validé",0,$J14-Paramètres!$B$2))</f>
        <v/>
      </c>
      <c r="Q14" s="13">
        <f>IF($I14="","Sans dépendance",IFERROR(IF(INDEX('Jalons'!$M$4:$M$103,MATCH($I14,'Jalons'!$A$4:$A$103,0))="Validé","Oui","Non"),"ID introuvable"))</f>
        <v/>
      </c>
      <c r="R14" s="13">
        <f>IF($A14="","",IF($M14="Refusé","ARBITRAGE",IF(AND($Q14&lt;&gt;"Oui",$Q14&lt;&gt;"Sans dépendance"),"BLOCAGE",IF($M14="Validé","OK",IF($J14="","DATE MANQUANTE",IF($P14&lt;0,"EN RETARD",IF($P14&lt;=Paramètres!$B$4,"À ÉCHÉANCE","À SUIVRE")))))))</f>
        <v/>
      </c>
    </row>
    <row r="15" ht="23" customHeight="1">
      <c r="A15" s="19" t="n"/>
      <c r="B15" s="19" t="n"/>
      <c r="C15" s="19" t="n"/>
      <c r="D15" s="19" t="n"/>
      <c r="E15" s="19" t="n"/>
      <c r="F15" s="19" t="n"/>
      <c r="G15" s="19" t="n"/>
      <c r="H15" s="19" t="n"/>
      <c r="I15" s="19" t="n"/>
      <c r="J15" s="17" t="n"/>
      <c r="K15" s="18" t="n"/>
      <c r="L15" s="17" t="n"/>
      <c r="M15" s="18" t="n"/>
      <c r="N15" s="17" t="n"/>
      <c r="O15" s="19" t="n"/>
      <c r="P15" s="22">
        <f>IF($J15="","",IF($M15="Validé",0,$J15-Paramètres!$B$2))</f>
        <v/>
      </c>
      <c r="Q15" s="16">
        <f>IF($I15="","Sans dépendance",IFERROR(IF(INDEX('Jalons'!$M$4:$M$103,MATCH($I15,'Jalons'!$A$4:$A$103,0))="Validé","Oui","Non"),"ID introuvable"))</f>
        <v/>
      </c>
      <c r="R15" s="16">
        <f>IF($A15="","",IF($M15="Refusé","ARBITRAGE",IF(AND($Q15&lt;&gt;"Oui",$Q15&lt;&gt;"Sans dépendance"),"BLOCAGE",IF($M15="Validé","OK",IF($J15="","DATE MANQUANTE",IF($P15&lt;0,"EN RETARD",IF($P15&lt;=Paramètres!$B$4,"À ÉCHÉANCE","À SUIVRE")))))))</f>
        <v/>
      </c>
    </row>
    <row r="16" ht="23" customHeight="1">
      <c r="A16" s="19" t="n"/>
      <c r="B16" s="19" t="n"/>
      <c r="C16" s="19" t="n"/>
      <c r="D16" s="19" t="n"/>
      <c r="E16" s="19" t="n"/>
      <c r="F16" s="19" t="n"/>
      <c r="G16" s="19" t="n"/>
      <c r="H16" s="19" t="n"/>
      <c r="I16" s="19" t="n"/>
      <c r="J16" s="17" t="n"/>
      <c r="K16" s="18" t="n"/>
      <c r="L16" s="17" t="n"/>
      <c r="M16" s="18" t="n"/>
      <c r="N16" s="17" t="n"/>
      <c r="O16" s="19" t="n"/>
      <c r="P16" s="21">
        <f>IF($J16="","",IF($M16="Validé",0,$J16-Paramètres!$B$2))</f>
        <v/>
      </c>
      <c r="Q16" s="13">
        <f>IF($I16="","Sans dépendance",IFERROR(IF(INDEX('Jalons'!$M$4:$M$103,MATCH($I16,'Jalons'!$A$4:$A$103,0))="Validé","Oui","Non"),"ID introuvable"))</f>
        <v/>
      </c>
      <c r="R16" s="13">
        <f>IF($A16="","",IF($M16="Refusé","ARBITRAGE",IF(AND($Q16&lt;&gt;"Oui",$Q16&lt;&gt;"Sans dépendance"),"BLOCAGE",IF($M16="Validé","OK",IF($J16="","DATE MANQUANTE",IF($P16&lt;0,"EN RETARD",IF($P16&lt;=Paramètres!$B$4,"À ÉCHÉANCE","À SUIVRE")))))))</f>
        <v/>
      </c>
    </row>
    <row r="17" ht="23" customHeight="1">
      <c r="A17" s="19" t="n"/>
      <c r="B17" s="19" t="n"/>
      <c r="C17" s="19" t="n"/>
      <c r="D17" s="19" t="n"/>
      <c r="E17" s="19" t="n"/>
      <c r="F17" s="19" t="n"/>
      <c r="G17" s="19" t="n"/>
      <c r="H17" s="19" t="n"/>
      <c r="I17" s="19" t="n"/>
      <c r="J17" s="17" t="n"/>
      <c r="K17" s="18" t="n"/>
      <c r="L17" s="17" t="n"/>
      <c r="M17" s="18" t="n"/>
      <c r="N17" s="17" t="n"/>
      <c r="O17" s="19" t="n"/>
      <c r="P17" s="22">
        <f>IF($J17="","",IF($M17="Validé",0,$J17-Paramètres!$B$2))</f>
        <v/>
      </c>
      <c r="Q17" s="16">
        <f>IF($I17="","Sans dépendance",IFERROR(IF(INDEX('Jalons'!$M$4:$M$103,MATCH($I17,'Jalons'!$A$4:$A$103,0))="Validé","Oui","Non"),"ID introuvable"))</f>
        <v/>
      </c>
      <c r="R17" s="16">
        <f>IF($A17="","",IF($M17="Refusé","ARBITRAGE",IF(AND($Q17&lt;&gt;"Oui",$Q17&lt;&gt;"Sans dépendance"),"BLOCAGE",IF($M17="Validé","OK",IF($J17="","DATE MANQUANTE",IF($P17&lt;0,"EN RETARD",IF($P17&lt;=Paramètres!$B$4,"À ÉCHÉANCE","À SUIVRE")))))))</f>
        <v/>
      </c>
    </row>
    <row r="18" ht="23" customHeight="1">
      <c r="A18" s="19" t="n"/>
      <c r="B18" s="19" t="n"/>
      <c r="C18" s="19" t="n"/>
      <c r="D18" s="19" t="n"/>
      <c r="E18" s="19" t="n"/>
      <c r="F18" s="19" t="n"/>
      <c r="G18" s="19" t="n"/>
      <c r="H18" s="19" t="n"/>
      <c r="I18" s="19" t="n"/>
      <c r="J18" s="17" t="n"/>
      <c r="K18" s="18" t="n"/>
      <c r="L18" s="17" t="n"/>
      <c r="M18" s="18" t="n"/>
      <c r="N18" s="17" t="n"/>
      <c r="O18" s="19" t="n"/>
      <c r="P18" s="21">
        <f>IF($J18="","",IF($M18="Validé",0,$J18-Paramètres!$B$2))</f>
        <v/>
      </c>
      <c r="Q18" s="13">
        <f>IF($I18="","Sans dépendance",IFERROR(IF(INDEX('Jalons'!$M$4:$M$103,MATCH($I18,'Jalons'!$A$4:$A$103,0))="Validé","Oui","Non"),"ID introuvable"))</f>
        <v/>
      </c>
      <c r="R18" s="13">
        <f>IF($A18="","",IF($M18="Refusé","ARBITRAGE",IF(AND($Q18&lt;&gt;"Oui",$Q18&lt;&gt;"Sans dépendance"),"BLOCAGE",IF($M18="Validé","OK",IF($J18="","DATE MANQUANTE",IF($P18&lt;0,"EN RETARD",IF($P18&lt;=Paramètres!$B$4,"À ÉCHÉANCE","À SUIVRE")))))))</f>
        <v/>
      </c>
    </row>
    <row r="19" ht="23" customHeight="1">
      <c r="A19" s="19" t="n"/>
      <c r="B19" s="19" t="n"/>
      <c r="C19" s="19" t="n"/>
      <c r="D19" s="19" t="n"/>
      <c r="E19" s="19" t="n"/>
      <c r="F19" s="19" t="n"/>
      <c r="G19" s="19" t="n"/>
      <c r="H19" s="19" t="n"/>
      <c r="I19" s="19" t="n"/>
      <c r="J19" s="17" t="n"/>
      <c r="K19" s="18" t="n"/>
      <c r="L19" s="17" t="n"/>
      <c r="M19" s="18" t="n"/>
      <c r="N19" s="17" t="n"/>
      <c r="O19" s="19" t="n"/>
      <c r="P19" s="22">
        <f>IF($J19="","",IF($M19="Validé",0,$J19-Paramètres!$B$2))</f>
        <v/>
      </c>
      <c r="Q19" s="16">
        <f>IF($I19="","Sans dépendance",IFERROR(IF(INDEX('Jalons'!$M$4:$M$103,MATCH($I19,'Jalons'!$A$4:$A$103,0))="Validé","Oui","Non"),"ID introuvable"))</f>
        <v/>
      </c>
      <c r="R19" s="16">
        <f>IF($A19="","",IF($M19="Refusé","ARBITRAGE",IF(AND($Q19&lt;&gt;"Oui",$Q19&lt;&gt;"Sans dépendance"),"BLOCAGE",IF($M19="Validé","OK",IF($J19="","DATE MANQUANTE",IF($P19&lt;0,"EN RETARD",IF($P19&lt;=Paramètres!$B$4,"À ÉCHÉANCE","À SUIVRE")))))))</f>
        <v/>
      </c>
    </row>
    <row r="20" ht="23" customHeight="1">
      <c r="A20" s="19" t="n"/>
      <c r="B20" s="19" t="n"/>
      <c r="C20" s="19" t="n"/>
      <c r="D20" s="19" t="n"/>
      <c r="E20" s="19" t="n"/>
      <c r="F20" s="19" t="n"/>
      <c r="G20" s="19" t="n"/>
      <c r="H20" s="19" t="n"/>
      <c r="I20" s="19" t="n"/>
      <c r="J20" s="17" t="n"/>
      <c r="K20" s="18" t="n"/>
      <c r="L20" s="17" t="n"/>
      <c r="M20" s="18" t="n"/>
      <c r="N20" s="17" t="n"/>
      <c r="O20" s="19" t="n"/>
      <c r="P20" s="21">
        <f>IF($J20="","",IF($M20="Validé",0,$J20-Paramètres!$B$2))</f>
        <v/>
      </c>
      <c r="Q20" s="13">
        <f>IF($I20="","Sans dépendance",IFERROR(IF(INDEX('Jalons'!$M$4:$M$103,MATCH($I20,'Jalons'!$A$4:$A$103,0))="Validé","Oui","Non"),"ID introuvable"))</f>
        <v/>
      </c>
      <c r="R20" s="13">
        <f>IF($A20="","",IF($M20="Refusé","ARBITRAGE",IF(AND($Q20&lt;&gt;"Oui",$Q20&lt;&gt;"Sans dépendance"),"BLOCAGE",IF($M20="Validé","OK",IF($J20="","DATE MANQUANTE",IF($P20&lt;0,"EN RETARD",IF($P20&lt;=Paramètres!$B$4,"À ÉCHÉANCE","À SUIVRE")))))))</f>
        <v/>
      </c>
    </row>
    <row r="21" ht="23" customHeight="1">
      <c r="A21" s="19" t="n"/>
      <c r="B21" s="19" t="n"/>
      <c r="C21" s="19" t="n"/>
      <c r="D21" s="19" t="n"/>
      <c r="E21" s="19" t="n"/>
      <c r="F21" s="19" t="n"/>
      <c r="G21" s="19" t="n"/>
      <c r="H21" s="19" t="n"/>
      <c r="I21" s="19" t="n"/>
      <c r="J21" s="17" t="n"/>
      <c r="K21" s="18" t="n"/>
      <c r="L21" s="17" t="n"/>
      <c r="M21" s="18" t="n"/>
      <c r="N21" s="17" t="n"/>
      <c r="O21" s="19" t="n"/>
      <c r="P21" s="22">
        <f>IF($J21="","",IF($M21="Validé",0,$J21-Paramètres!$B$2))</f>
        <v/>
      </c>
      <c r="Q21" s="16">
        <f>IF($I21="","Sans dépendance",IFERROR(IF(INDEX('Jalons'!$M$4:$M$103,MATCH($I21,'Jalons'!$A$4:$A$103,0))="Validé","Oui","Non"),"ID introuvable"))</f>
        <v/>
      </c>
      <c r="R21" s="16">
        <f>IF($A21="","",IF($M21="Refusé","ARBITRAGE",IF(AND($Q21&lt;&gt;"Oui",$Q21&lt;&gt;"Sans dépendance"),"BLOCAGE",IF($M21="Validé","OK",IF($J21="","DATE MANQUANTE",IF($P21&lt;0,"EN RETARD",IF($P21&lt;=Paramètres!$B$4,"À ÉCHÉANCE","À SUIVRE")))))))</f>
        <v/>
      </c>
    </row>
    <row r="22" ht="23" customHeight="1">
      <c r="A22" s="19" t="n"/>
      <c r="B22" s="19" t="n"/>
      <c r="C22" s="19" t="n"/>
      <c r="D22" s="19" t="n"/>
      <c r="E22" s="19" t="n"/>
      <c r="F22" s="19" t="n"/>
      <c r="G22" s="19" t="n"/>
      <c r="H22" s="19" t="n"/>
      <c r="I22" s="19" t="n"/>
      <c r="J22" s="17" t="n"/>
      <c r="K22" s="18" t="n"/>
      <c r="L22" s="17" t="n"/>
      <c r="M22" s="18" t="n"/>
      <c r="N22" s="17" t="n"/>
      <c r="O22" s="19" t="n"/>
      <c r="P22" s="21">
        <f>IF($J22="","",IF($M22="Validé",0,$J22-Paramètres!$B$2))</f>
        <v/>
      </c>
      <c r="Q22" s="13">
        <f>IF($I22="","Sans dépendance",IFERROR(IF(INDEX('Jalons'!$M$4:$M$103,MATCH($I22,'Jalons'!$A$4:$A$103,0))="Validé","Oui","Non"),"ID introuvable"))</f>
        <v/>
      </c>
      <c r="R22" s="13">
        <f>IF($A22="","",IF($M22="Refusé","ARBITRAGE",IF(AND($Q22&lt;&gt;"Oui",$Q22&lt;&gt;"Sans dépendance"),"BLOCAGE",IF($M22="Validé","OK",IF($J22="","DATE MANQUANTE",IF($P22&lt;0,"EN RETARD",IF($P22&lt;=Paramètres!$B$4,"À ÉCHÉANCE","À SUIVRE")))))))</f>
        <v/>
      </c>
    </row>
    <row r="23" ht="23" customHeight="1">
      <c r="A23" s="19" t="n"/>
      <c r="B23" s="19" t="n"/>
      <c r="C23" s="19" t="n"/>
      <c r="D23" s="19" t="n"/>
      <c r="E23" s="19" t="n"/>
      <c r="F23" s="19" t="n"/>
      <c r="G23" s="19" t="n"/>
      <c r="H23" s="19" t="n"/>
      <c r="I23" s="19" t="n"/>
      <c r="J23" s="17" t="n"/>
      <c r="K23" s="18" t="n"/>
      <c r="L23" s="17" t="n"/>
      <c r="M23" s="18" t="n"/>
      <c r="N23" s="17" t="n"/>
      <c r="O23" s="19" t="n"/>
      <c r="P23" s="22">
        <f>IF($J23="","",IF($M23="Validé",0,$J23-Paramètres!$B$2))</f>
        <v/>
      </c>
      <c r="Q23" s="16">
        <f>IF($I23="","Sans dépendance",IFERROR(IF(INDEX('Jalons'!$M$4:$M$103,MATCH($I23,'Jalons'!$A$4:$A$103,0))="Validé","Oui","Non"),"ID introuvable"))</f>
        <v/>
      </c>
      <c r="R23" s="16">
        <f>IF($A23="","",IF($M23="Refusé","ARBITRAGE",IF(AND($Q23&lt;&gt;"Oui",$Q23&lt;&gt;"Sans dépendance"),"BLOCAGE",IF($M23="Validé","OK",IF($J23="","DATE MANQUANTE",IF($P23&lt;0,"EN RETARD",IF($P23&lt;=Paramètres!$B$4,"À ÉCHÉANCE","À SUIVRE")))))))</f>
        <v/>
      </c>
    </row>
    <row r="24" ht="23" customHeight="1">
      <c r="A24" s="19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7" t="n"/>
      <c r="K24" s="18" t="n"/>
      <c r="L24" s="17" t="n"/>
      <c r="M24" s="18" t="n"/>
      <c r="N24" s="17" t="n"/>
      <c r="O24" s="19" t="n"/>
      <c r="P24" s="21">
        <f>IF($J24="","",IF($M24="Validé",0,$J24-Paramètres!$B$2))</f>
        <v/>
      </c>
      <c r="Q24" s="13">
        <f>IF($I24="","Sans dépendance",IFERROR(IF(INDEX('Jalons'!$M$4:$M$103,MATCH($I24,'Jalons'!$A$4:$A$103,0))="Validé","Oui","Non"),"ID introuvable"))</f>
        <v/>
      </c>
      <c r="R24" s="13">
        <f>IF($A24="","",IF($M24="Refusé","ARBITRAGE",IF(AND($Q24&lt;&gt;"Oui",$Q24&lt;&gt;"Sans dépendance"),"BLOCAGE",IF($M24="Validé","OK",IF($J24="","DATE MANQUANTE",IF($P24&lt;0,"EN RETARD",IF($P24&lt;=Paramètres!$B$4,"À ÉCHÉANCE","À SUIVRE")))))))</f>
        <v/>
      </c>
    </row>
    <row r="25" ht="23" customHeight="1">
      <c r="A25" s="19" t="n"/>
      <c r="B25" s="19" t="n"/>
      <c r="C25" s="19" t="n"/>
      <c r="D25" s="19" t="n"/>
      <c r="E25" s="19" t="n"/>
      <c r="F25" s="19" t="n"/>
      <c r="G25" s="19" t="n"/>
      <c r="H25" s="19" t="n"/>
      <c r="I25" s="19" t="n"/>
      <c r="J25" s="17" t="n"/>
      <c r="K25" s="18" t="n"/>
      <c r="L25" s="17" t="n"/>
      <c r="M25" s="18" t="n"/>
      <c r="N25" s="17" t="n"/>
      <c r="O25" s="19" t="n"/>
      <c r="P25" s="22">
        <f>IF($J25="","",IF($M25="Validé",0,$J25-Paramètres!$B$2))</f>
        <v/>
      </c>
      <c r="Q25" s="16">
        <f>IF($I25="","Sans dépendance",IFERROR(IF(INDEX('Jalons'!$M$4:$M$103,MATCH($I25,'Jalons'!$A$4:$A$103,0))="Validé","Oui","Non"),"ID introuvable"))</f>
        <v/>
      </c>
      <c r="R25" s="16">
        <f>IF($A25="","",IF($M25="Refusé","ARBITRAGE",IF(AND($Q25&lt;&gt;"Oui",$Q25&lt;&gt;"Sans dépendance"),"BLOCAGE",IF($M25="Validé","OK",IF($J25="","DATE MANQUANTE",IF($P25&lt;0,"EN RETARD",IF($P25&lt;=Paramètres!$B$4,"À ÉCHÉANCE","À SUIVRE")))))))</f>
        <v/>
      </c>
    </row>
    <row r="26" ht="23" customHeight="1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7" t="n"/>
      <c r="K26" s="18" t="n"/>
      <c r="L26" s="17" t="n"/>
      <c r="M26" s="18" t="n"/>
      <c r="N26" s="17" t="n"/>
      <c r="O26" s="19" t="n"/>
      <c r="P26" s="21">
        <f>IF($J26="","",IF($M26="Validé",0,$J26-Paramètres!$B$2))</f>
        <v/>
      </c>
      <c r="Q26" s="13">
        <f>IF($I26="","Sans dépendance",IFERROR(IF(INDEX('Jalons'!$M$4:$M$103,MATCH($I26,'Jalons'!$A$4:$A$103,0))="Validé","Oui","Non"),"ID introuvable"))</f>
        <v/>
      </c>
      <c r="R26" s="13">
        <f>IF($A26="","",IF($M26="Refusé","ARBITRAGE",IF(AND($Q26&lt;&gt;"Oui",$Q26&lt;&gt;"Sans dépendance"),"BLOCAGE",IF($M26="Validé","OK",IF($J26="","DATE MANQUANTE",IF($P26&lt;0,"EN RETARD",IF($P26&lt;=Paramètres!$B$4,"À ÉCHÉANCE","À SUIVRE")))))))</f>
        <v/>
      </c>
    </row>
    <row r="27" ht="23" customHeight="1">
      <c r="A27" s="19" t="n"/>
      <c r="B27" s="19" t="n"/>
      <c r="C27" s="19" t="n"/>
      <c r="D27" s="19" t="n"/>
      <c r="E27" s="19" t="n"/>
      <c r="F27" s="19" t="n"/>
      <c r="G27" s="19" t="n"/>
      <c r="H27" s="19" t="n"/>
      <c r="I27" s="19" t="n"/>
      <c r="J27" s="17" t="n"/>
      <c r="K27" s="18" t="n"/>
      <c r="L27" s="17" t="n"/>
      <c r="M27" s="18" t="n"/>
      <c r="N27" s="17" t="n"/>
      <c r="O27" s="19" t="n"/>
      <c r="P27" s="22">
        <f>IF($J27="","",IF($M27="Validé",0,$J27-Paramètres!$B$2))</f>
        <v/>
      </c>
      <c r="Q27" s="16">
        <f>IF($I27="","Sans dépendance",IFERROR(IF(INDEX('Jalons'!$M$4:$M$103,MATCH($I27,'Jalons'!$A$4:$A$103,0))="Validé","Oui","Non"),"ID introuvable"))</f>
        <v/>
      </c>
      <c r="R27" s="16">
        <f>IF($A27="","",IF($M27="Refusé","ARBITRAGE",IF(AND($Q27&lt;&gt;"Oui",$Q27&lt;&gt;"Sans dépendance"),"BLOCAGE",IF($M27="Validé","OK",IF($J27="","DATE MANQUANTE",IF($P27&lt;0,"EN RETARD",IF($P27&lt;=Paramètres!$B$4,"À ÉCHÉANCE","À SUIVRE")))))))</f>
        <v/>
      </c>
    </row>
    <row r="28" ht="23" customHeight="1">
      <c r="A28" s="19" t="n"/>
      <c r="B28" s="19" t="n"/>
      <c r="C28" s="19" t="n"/>
      <c r="D28" s="19" t="n"/>
      <c r="E28" s="19" t="n"/>
      <c r="F28" s="19" t="n"/>
      <c r="G28" s="19" t="n"/>
      <c r="H28" s="19" t="n"/>
      <c r="I28" s="19" t="n"/>
      <c r="J28" s="17" t="n"/>
      <c r="K28" s="18" t="n"/>
      <c r="L28" s="17" t="n"/>
      <c r="M28" s="18" t="n"/>
      <c r="N28" s="17" t="n"/>
      <c r="O28" s="19" t="n"/>
      <c r="P28" s="21">
        <f>IF($J28="","",IF($M28="Validé",0,$J28-Paramètres!$B$2))</f>
        <v/>
      </c>
      <c r="Q28" s="13">
        <f>IF($I28="","Sans dépendance",IFERROR(IF(INDEX('Jalons'!$M$4:$M$103,MATCH($I28,'Jalons'!$A$4:$A$103,0))="Validé","Oui","Non"),"ID introuvable"))</f>
        <v/>
      </c>
      <c r="R28" s="13">
        <f>IF($A28="","",IF($M28="Refusé","ARBITRAGE",IF(AND($Q28&lt;&gt;"Oui",$Q28&lt;&gt;"Sans dépendance"),"BLOCAGE",IF($M28="Validé","OK",IF($J28="","DATE MANQUANTE",IF($P28&lt;0,"EN RETARD",IF($P28&lt;=Paramètres!$B$4,"À ÉCHÉANCE","À SUIVRE")))))))</f>
        <v/>
      </c>
    </row>
    <row r="29" ht="23" customHeight="1">
      <c r="A29" s="19" t="n"/>
      <c r="B29" s="19" t="n"/>
      <c r="C29" s="19" t="n"/>
      <c r="D29" s="19" t="n"/>
      <c r="E29" s="19" t="n"/>
      <c r="F29" s="19" t="n"/>
      <c r="G29" s="19" t="n"/>
      <c r="H29" s="19" t="n"/>
      <c r="I29" s="19" t="n"/>
      <c r="J29" s="17" t="n"/>
      <c r="K29" s="18" t="n"/>
      <c r="L29" s="17" t="n"/>
      <c r="M29" s="18" t="n"/>
      <c r="N29" s="17" t="n"/>
      <c r="O29" s="19" t="n"/>
      <c r="P29" s="22">
        <f>IF($J29="","",IF($M29="Validé",0,$J29-Paramètres!$B$2))</f>
        <v/>
      </c>
      <c r="Q29" s="16">
        <f>IF($I29="","Sans dépendance",IFERROR(IF(INDEX('Jalons'!$M$4:$M$103,MATCH($I29,'Jalons'!$A$4:$A$103,0))="Validé","Oui","Non"),"ID introuvable"))</f>
        <v/>
      </c>
      <c r="R29" s="16">
        <f>IF($A29="","",IF($M29="Refusé","ARBITRAGE",IF(AND($Q29&lt;&gt;"Oui",$Q29&lt;&gt;"Sans dépendance"),"BLOCAGE",IF($M29="Validé","OK",IF($J29="","DATE MANQUANTE",IF($P29&lt;0,"EN RETARD",IF($P29&lt;=Paramètres!$B$4,"À ÉCHÉANCE","À SUIVRE")))))))</f>
        <v/>
      </c>
    </row>
    <row r="30" ht="23" customHeight="1">
      <c r="A30" s="19" t="n"/>
      <c r="B30" s="19" t="n"/>
      <c r="C30" s="19" t="n"/>
      <c r="D30" s="19" t="n"/>
      <c r="E30" s="19" t="n"/>
      <c r="F30" s="19" t="n"/>
      <c r="G30" s="19" t="n"/>
      <c r="H30" s="19" t="n"/>
      <c r="I30" s="19" t="n"/>
      <c r="J30" s="17" t="n"/>
      <c r="K30" s="18" t="n"/>
      <c r="L30" s="17" t="n"/>
      <c r="M30" s="18" t="n"/>
      <c r="N30" s="17" t="n"/>
      <c r="O30" s="19" t="n"/>
      <c r="P30" s="21">
        <f>IF($J30="","",IF($M30="Validé",0,$J30-Paramètres!$B$2))</f>
        <v/>
      </c>
      <c r="Q30" s="13">
        <f>IF($I30="","Sans dépendance",IFERROR(IF(INDEX('Jalons'!$M$4:$M$103,MATCH($I30,'Jalons'!$A$4:$A$103,0))="Validé","Oui","Non"),"ID introuvable"))</f>
        <v/>
      </c>
      <c r="R30" s="13">
        <f>IF($A30="","",IF($M30="Refusé","ARBITRAGE",IF(AND($Q30&lt;&gt;"Oui",$Q30&lt;&gt;"Sans dépendance"),"BLOCAGE",IF($M30="Validé","OK",IF($J30="","DATE MANQUANTE",IF($P30&lt;0,"EN RETARD",IF($P30&lt;=Paramètres!$B$4,"À ÉCHÉANCE","À SUIVRE")))))))</f>
        <v/>
      </c>
    </row>
    <row r="31" ht="23" customHeight="1">
      <c r="A31" s="19" t="n"/>
      <c r="B31" s="19" t="n"/>
      <c r="C31" s="19" t="n"/>
      <c r="D31" s="19" t="n"/>
      <c r="E31" s="19" t="n"/>
      <c r="F31" s="19" t="n"/>
      <c r="G31" s="19" t="n"/>
      <c r="H31" s="19" t="n"/>
      <c r="I31" s="19" t="n"/>
      <c r="J31" s="17" t="n"/>
      <c r="K31" s="18" t="n"/>
      <c r="L31" s="17" t="n"/>
      <c r="M31" s="18" t="n"/>
      <c r="N31" s="17" t="n"/>
      <c r="O31" s="19" t="n"/>
      <c r="P31" s="22">
        <f>IF($J31="","",IF($M31="Validé",0,$J31-Paramètres!$B$2))</f>
        <v/>
      </c>
      <c r="Q31" s="16">
        <f>IF($I31="","Sans dépendance",IFERROR(IF(INDEX('Jalons'!$M$4:$M$103,MATCH($I31,'Jalons'!$A$4:$A$103,0))="Validé","Oui","Non"),"ID introuvable"))</f>
        <v/>
      </c>
      <c r="R31" s="16">
        <f>IF($A31="","",IF($M31="Refusé","ARBITRAGE",IF(AND($Q31&lt;&gt;"Oui",$Q31&lt;&gt;"Sans dépendance"),"BLOCAGE",IF($M31="Validé","OK",IF($J31="","DATE MANQUANTE",IF($P31&lt;0,"EN RETARD",IF($P31&lt;=Paramètres!$B$4,"À ÉCHÉANCE","À SUIVRE")))))))</f>
        <v/>
      </c>
    </row>
    <row r="32" ht="23" customHeight="1">
      <c r="A32" s="19" t="n"/>
      <c r="B32" s="19" t="n"/>
      <c r="C32" s="19" t="n"/>
      <c r="D32" s="19" t="n"/>
      <c r="E32" s="19" t="n"/>
      <c r="F32" s="19" t="n"/>
      <c r="G32" s="19" t="n"/>
      <c r="H32" s="19" t="n"/>
      <c r="I32" s="19" t="n"/>
      <c r="J32" s="17" t="n"/>
      <c r="K32" s="18" t="n"/>
      <c r="L32" s="17" t="n"/>
      <c r="M32" s="18" t="n"/>
      <c r="N32" s="17" t="n"/>
      <c r="O32" s="19" t="n"/>
      <c r="P32" s="21">
        <f>IF($J32="","",IF($M32="Validé",0,$J32-Paramètres!$B$2))</f>
        <v/>
      </c>
      <c r="Q32" s="13">
        <f>IF($I32="","Sans dépendance",IFERROR(IF(INDEX('Jalons'!$M$4:$M$103,MATCH($I32,'Jalons'!$A$4:$A$103,0))="Validé","Oui","Non"),"ID introuvable"))</f>
        <v/>
      </c>
      <c r="R32" s="13">
        <f>IF($A32="","",IF($M32="Refusé","ARBITRAGE",IF(AND($Q32&lt;&gt;"Oui",$Q32&lt;&gt;"Sans dépendance"),"BLOCAGE",IF($M32="Validé","OK",IF($J32="","DATE MANQUANTE",IF($P32&lt;0,"EN RETARD",IF($P32&lt;=Paramètres!$B$4,"À ÉCHÉANCE","À SUIVRE")))))))</f>
        <v/>
      </c>
    </row>
    <row r="33" ht="23" customHeight="1">
      <c r="A33" s="19" t="n"/>
      <c r="B33" s="19" t="n"/>
      <c r="C33" s="19" t="n"/>
      <c r="D33" s="19" t="n"/>
      <c r="E33" s="19" t="n"/>
      <c r="F33" s="19" t="n"/>
      <c r="G33" s="19" t="n"/>
      <c r="H33" s="19" t="n"/>
      <c r="I33" s="19" t="n"/>
      <c r="J33" s="17" t="n"/>
      <c r="K33" s="18" t="n"/>
      <c r="L33" s="17" t="n"/>
      <c r="M33" s="18" t="n"/>
      <c r="N33" s="17" t="n"/>
      <c r="O33" s="19" t="n"/>
      <c r="P33" s="22">
        <f>IF($J33="","",IF($M33="Validé",0,$J33-Paramètres!$B$2))</f>
        <v/>
      </c>
      <c r="Q33" s="16">
        <f>IF($I33="","Sans dépendance",IFERROR(IF(INDEX('Jalons'!$M$4:$M$103,MATCH($I33,'Jalons'!$A$4:$A$103,0))="Validé","Oui","Non"),"ID introuvable"))</f>
        <v/>
      </c>
      <c r="R33" s="16">
        <f>IF($A33="","",IF($M33="Refusé","ARBITRAGE",IF(AND($Q33&lt;&gt;"Oui",$Q33&lt;&gt;"Sans dépendance"),"BLOCAGE",IF($M33="Validé","OK",IF($J33="","DATE MANQUANTE",IF($P33&lt;0,"EN RETARD",IF($P33&lt;=Paramètres!$B$4,"À ÉCHÉANCE","À SUIVRE")))))))</f>
        <v/>
      </c>
    </row>
    <row r="34" ht="23" customHeight="1">
      <c r="A34" s="19" t="n"/>
      <c r="B34" s="19" t="n"/>
      <c r="C34" s="19" t="n"/>
      <c r="D34" s="19" t="n"/>
      <c r="E34" s="19" t="n"/>
      <c r="F34" s="19" t="n"/>
      <c r="G34" s="19" t="n"/>
      <c r="H34" s="19" t="n"/>
      <c r="I34" s="19" t="n"/>
      <c r="J34" s="17" t="n"/>
      <c r="K34" s="18" t="n"/>
      <c r="L34" s="17" t="n"/>
      <c r="M34" s="18" t="n"/>
      <c r="N34" s="17" t="n"/>
      <c r="O34" s="19" t="n"/>
      <c r="P34" s="21">
        <f>IF($J34="","",IF($M34="Validé",0,$J34-Paramètres!$B$2))</f>
        <v/>
      </c>
      <c r="Q34" s="13">
        <f>IF($I34="","Sans dépendance",IFERROR(IF(INDEX('Jalons'!$M$4:$M$103,MATCH($I34,'Jalons'!$A$4:$A$103,0))="Validé","Oui","Non"),"ID introuvable"))</f>
        <v/>
      </c>
      <c r="R34" s="13">
        <f>IF($A34="","",IF($M34="Refusé","ARBITRAGE",IF(AND($Q34&lt;&gt;"Oui",$Q34&lt;&gt;"Sans dépendance"),"BLOCAGE",IF($M34="Validé","OK",IF($J34="","DATE MANQUANTE",IF($P34&lt;0,"EN RETARD",IF($P34&lt;=Paramètres!$B$4,"À ÉCHÉANCE","À SUIVRE")))))))</f>
        <v/>
      </c>
    </row>
    <row r="35" ht="23" customHeight="1">
      <c r="A35" s="19" t="n"/>
      <c r="B35" s="19" t="n"/>
      <c r="C35" s="19" t="n"/>
      <c r="D35" s="19" t="n"/>
      <c r="E35" s="19" t="n"/>
      <c r="F35" s="19" t="n"/>
      <c r="G35" s="19" t="n"/>
      <c r="H35" s="19" t="n"/>
      <c r="I35" s="19" t="n"/>
      <c r="J35" s="17" t="n"/>
      <c r="K35" s="18" t="n"/>
      <c r="L35" s="17" t="n"/>
      <c r="M35" s="18" t="n"/>
      <c r="N35" s="17" t="n"/>
      <c r="O35" s="19" t="n"/>
      <c r="P35" s="22">
        <f>IF($J35="","",IF($M35="Validé",0,$J35-Paramètres!$B$2))</f>
        <v/>
      </c>
      <c r="Q35" s="16">
        <f>IF($I35="","Sans dépendance",IFERROR(IF(INDEX('Jalons'!$M$4:$M$103,MATCH($I35,'Jalons'!$A$4:$A$103,0))="Validé","Oui","Non"),"ID introuvable"))</f>
        <v/>
      </c>
      <c r="R35" s="16">
        <f>IF($A35="","",IF($M35="Refusé","ARBITRAGE",IF(AND($Q35&lt;&gt;"Oui",$Q35&lt;&gt;"Sans dépendance"),"BLOCAGE",IF($M35="Validé","OK",IF($J35="","DATE MANQUANTE",IF($P35&lt;0,"EN RETARD",IF($P35&lt;=Paramètres!$B$4,"À ÉCHÉANCE","À SUIVRE")))))))</f>
        <v/>
      </c>
    </row>
    <row r="36" ht="23" customHeight="1">
      <c r="A36" s="19" t="n"/>
      <c r="B36" s="19" t="n"/>
      <c r="C36" s="19" t="n"/>
      <c r="D36" s="19" t="n"/>
      <c r="E36" s="19" t="n"/>
      <c r="F36" s="19" t="n"/>
      <c r="G36" s="19" t="n"/>
      <c r="H36" s="19" t="n"/>
      <c r="I36" s="19" t="n"/>
      <c r="J36" s="17" t="n"/>
      <c r="K36" s="18" t="n"/>
      <c r="L36" s="17" t="n"/>
      <c r="M36" s="18" t="n"/>
      <c r="N36" s="17" t="n"/>
      <c r="O36" s="19" t="n"/>
      <c r="P36" s="21">
        <f>IF($J36="","",IF($M36="Validé",0,$J36-Paramètres!$B$2))</f>
        <v/>
      </c>
      <c r="Q36" s="13">
        <f>IF($I36="","Sans dépendance",IFERROR(IF(INDEX('Jalons'!$M$4:$M$103,MATCH($I36,'Jalons'!$A$4:$A$103,0))="Validé","Oui","Non"),"ID introuvable"))</f>
        <v/>
      </c>
      <c r="R36" s="13">
        <f>IF($A36="","",IF($M36="Refusé","ARBITRAGE",IF(AND($Q36&lt;&gt;"Oui",$Q36&lt;&gt;"Sans dépendance"),"BLOCAGE",IF($M36="Validé","OK",IF($J36="","DATE MANQUANTE",IF($P36&lt;0,"EN RETARD",IF($P36&lt;=Paramètres!$B$4,"À ÉCHÉANCE","À SUIVRE")))))))</f>
        <v/>
      </c>
    </row>
    <row r="37" ht="23" customHeight="1">
      <c r="A37" s="19" t="n"/>
      <c r="B37" s="19" t="n"/>
      <c r="C37" s="19" t="n"/>
      <c r="D37" s="19" t="n"/>
      <c r="E37" s="19" t="n"/>
      <c r="F37" s="19" t="n"/>
      <c r="G37" s="19" t="n"/>
      <c r="H37" s="19" t="n"/>
      <c r="I37" s="19" t="n"/>
      <c r="J37" s="17" t="n"/>
      <c r="K37" s="18" t="n"/>
      <c r="L37" s="17" t="n"/>
      <c r="M37" s="18" t="n"/>
      <c r="N37" s="17" t="n"/>
      <c r="O37" s="19" t="n"/>
      <c r="P37" s="22">
        <f>IF($J37="","",IF($M37="Validé",0,$J37-Paramètres!$B$2))</f>
        <v/>
      </c>
      <c r="Q37" s="16">
        <f>IF($I37="","Sans dépendance",IFERROR(IF(INDEX('Jalons'!$M$4:$M$103,MATCH($I37,'Jalons'!$A$4:$A$103,0))="Validé","Oui","Non"),"ID introuvable"))</f>
        <v/>
      </c>
      <c r="R37" s="16">
        <f>IF($A37="","",IF($M37="Refusé","ARBITRAGE",IF(AND($Q37&lt;&gt;"Oui",$Q37&lt;&gt;"Sans dépendance"),"BLOCAGE",IF($M37="Validé","OK",IF($J37="","DATE MANQUANTE",IF($P37&lt;0,"EN RETARD",IF($P37&lt;=Paramètres!$B$4,"À ÉCHÉANCE","À SUIVRE")))))))</f>
        <v/>
      </c>
    </row>
    <row r="38" ht="23" customHeight="1">
      <c r="A38" s="19" t="n"/>
      <c r="B38" s="19" t="n"/>
      <c r="C38" s="19" t="n"/>
      <c r="D38" s="19" t="n"/>
      <c r="E38" s="19" t="n"/>
      <c r="F38" s="19" t="n"/>
      <c r="G38" s="19" t="n"/>
      <c r="H38" s="19" t="n"/>
      <c r="I38" s="19" t="n"/>
      <c r="J38" s="17" t="n"/>
      <c r="K38" s="18" t="n"/>
      <c r="L38" s="17" t="n"/>
      <c r="M38" s="18" t="n"/>
      <c r="N38" s="17" t="n"/>
      <c r="O38" s="19" t="n"/>
      <c r="P38" s="21">
        <f>IF($J38="","",IF($M38="Validé",0,$J38-Paramètres!$B$2))</f>
        <v/>
      </c>
      <c r="Q38" s="13">
        <f>IF($I38="","Sans dépendance",IFERROR(IF(INDEX('Jalons'!$M$4:$M$103,MATCH($I38,'Jalons'!$A$4:$A$103,0))="Validé","Oui","Non"),"ID introuvable"))</f>
        <v/>
      </c>
      <c r="R38" s="13">
        <f>IF($A38="","",IF($M38="Refusé","ARBITRAGE",IF(AND($Q38&lt;&gt;"Oui",$Q38&lt;&gt;"Sans dépendance"),"BLOCAGE",IF($M38="Validé","OK",IF($J38="","DATE MANQUANTE",IF($P38&lt;0,"EN RETARD",IF($P38&lt;=Paramètres!$B$4,"À ÉCHÉANCE","À SUIVRE")))))))</f>
        <v/>
      </c>
    </row>
    <row r="39" ht="23" customHeight="1">
      <c r="A39" s="19" t="n"/>
      <c r="B39" s="19" t="n"/>
      <c r="C39" s="19" t="n"/>
      <c r="D39" s="19" t="n"/>
      <c r="E39" s="19" t="n"/>
      <c r="F39" s="19" t="n"/>
      <c r="G39" s="19" t="n"/>
      <c r="H39" s="19" t="n"/>
      <c r="I39" s="19" t="n"/>
      <c r="J39" s="17" t="n"/>
      <c r="K39" s="18" t="n"/>
      <c r="L39" s="17" t="n"/>
      <c r="M39" s="18" t="n"/>
      <c r="N39" s="17" t="n"/>
      <c r="O39" s="19" t="n"/>
      <c r="P39" s="22">
        <f>IF($J39="","",IF($M39="Validé",0,$J39-Paramètres!$B$2))</f>
        <v/>
      </c>
      <c r="Q39" s="16">
        <f>IF($I39="","Sans dépendance",IFERROR(IF(INDEX('Jalons'!$M$4:$M$103,MATCH($I39,'Jalons'!$A$4:$A$103,0))="Validé","Oui","Non"),"ID introuvable"))</f>
        <v/>
      </c>
      <c r="R39" s="16">
        <f>IF($A39="","",IF($M39="Refusé","ARBITRAGE",IF(AND($Q39&lt;&gt;"Oui",$Q39&lt;&gt;"Sans dépendance"),"BLOCAGE",IF($M39="Validé","OK",IF($J39="","DATE MANQUANTE",IF($P39&lt;0,"EN RETARD",IF($P39&lt;=Paramètres!$B$4,"À ÉCHÉANCE","À SUIVRE")))))))</f>
        <v/>
      </c>
    </row>
    <row r="40" ht="23" customHeight="1">
      <c r="A40" s="19" t="n"/>
      <c r="B40" s="19" t="n"/>
      <c r="C40" s="19" t="n"/>
      <c r="D40" s="19" t="n"/>
      <c r="E40" s="19" t="n"/>
      <c r="F40" s="19" t="n"/>
      <c r="G40" s="19" t="n"/>
      <c r="H40" s="19" t="n"/>
      <c r="I40" s="19" t="n"/>
      <c r="J40" s="17" t="n"/>
      <c r="K40" s="18" t="n"/>
      <c r="L40" s="17" t="n"/>
      <c r="M40" s="18" t="n"/>
      <c r="N40" s="17" t="n"/>
      <c r="O40" s="19" t="n"/>
      <c r="P40" s="21">
        <f>IF($J40="","",IF($M40="Validé",0,$J40-Paramètres!$B$2))</f>
        <v/>
      </c>
      <c r="Q40" s="13">
        <f>IF($I40="","Sans dépendance",IFERROR(IF(INDEX('Jalons'!$M$4:$M$103,MATCH($I40,'Jalons'!$A$4:$A$103,0))="Validé","Oui","Non"),"ID introuvable"))</f>
        <v/>
      </c>
      <c r="R40" s="13">
        <f>IF($A40="","",IF($M40="Refusé","ARBITRAGE",IF(AND($Q40&lt;&gt;"Oui",$Q40&lt;&gt;"Sans dépendance"),"BLOCAGE",IF($M40="Validé","OK",IF($J40="","DATE MANQUANTE",IF($P40&lt;0,"EN RETARD",IF($P40&lt;=Paramètres!$B$4,"À ÉCHÉANCE","À SUIVRE")))))))</f>
        <v/>
      </c>
    </row>
    <row r="41" ht="23" customHeight="1">
      <c r="A41" s="19" t="n"/>
      <c r="B41" s="19" t="n"/>
      <c r="C41" s="19" t="n"/>
      <c r="D41" s="19" t="n"/>
      <c r="E41" s="19" t="n"/>
      <c r="F41" s="19" t="n"/>
      <c r="G41" s="19" t="n"/>
      <c r="H41" s="19" t="n"/>
      <c r="I41" s="19" t="n"/>
      <c r="J41" s="17" t="n"/>
      <c r="K41" s="18" t="n"/>
      <c r="L41" s="17" t="n"/>
      <c r="M41" s="18" t="n"/>
      <c r="N41" s="17" t="n"/>
      <c r="O41" s="19" t="n"/>
      <c r="P41" s="22">
        <f>IF($J41="","",IF($M41="Validé",0,$J41-Paramètres!$B$2))</f>
        <v/>
      </c>
      <c r="Q41" s="16">
        <f>IF($I41="","Sans dépendance",IFERROR(IF(INDEX('Jalons'!$M$4:$M$103,MATCH($I41,'Jalons'!$A$4:$A$103,0))="Validé","Oui","Non"),"ID introuvable"))</f>
        <v/>
      </c>
      <c r="R41" s="16">
        <f>IF($A41="","",IF($M41="Refusé","ARBITRAGE",IF(AND($Q41&lt;&gt;"Oui",$Q41&lt;&gt;"Sans dépendance"),"BLOCAGE",IF($M41="Validé","OK",IF($J41="","DATE MANQUANTE",IF($P41&lt;0,"EN RETARD",IF($P41&lt;=Paramètres!$B$4,"À ÉCHÉANCE","À SUIVRE")))))))</f>
        <v/>
      </c>
    </row>
    <row r="42" ht="23" customHeight="1">
      <c r="A42" s="19" t="n"/>
      <c r="B42" s="19" t="n"/>
      <c r="C42" s="19" t="n"/>
      <c r="D42" s="19" t="n"/>
      <c r="E42" s="19" t="n"/>
      <c r="F42" s="19" t="n"/>
      <c r="G42" s="19" t="n"/>
      <c r="H42" s="19" t="n"/>
      <c r="I42" s="19" t="n"/>
      <c r="J42" s="17" t="n"/>
      <c r="K42" s="18" t="n"/>
      <c r="L42" s="17" t="n"/>
      <c r="M42" s="18" t="n"/>
      <c r="N42" s="17" t="n"/>
      <c r="O42" s="19" t="n"/>
      <c r="P42" s="21">
        <f>IF($J42="","",IF($M42="Validé",0,$J42-Paramètres!$B$2))</f>
        <v/>
      </c>
      <c r="Q42" s="13">
        <f>IF($I42="","Sans dépendance",IFERROR(IF(INDEX('Jalons'!$M$4:$M$103,MATCH($I42,'Jalons'!$A$4:$A$103,0))="Validé","Oui","Non"),"ID introuvable"))</f>
        <v/>
      </c>
      <c r="R42" s="13">
        <f>IF($A42="","",IF($M42="Refusé","ARBITRAGE",IF(AND($Q42&lt;&gt;"Oui",$Q42&lt;&gt;"Sans dépendance"),"BLOCAGE",IF($M42="Validé","OK",IF($J42="","DATE MANQUANTE",IF($P42&lt;0,"EN RETARD",IF($P42&lt;=Paramètres!$B$4,"À ÉCHÉANCE","À SUIVRE")))))))</f>
        <v/>
      </c>
    </row>
    <row r="43" ht="23" customHeight="1">
      <c r="A43" s="19" t="n"/>
      <c r="B43" s="19" t="n"/>
      <c r="C43" s="19" t="n"/>
      <c r="D43" s="19" t="n"/>
      <c r="E43" s="19" t="n"/>
      <c r="F43" s="19" t="n"/>
      <c r="G43" s="19" t="n"/>
      <c r="H43" s="19" t="n"/>
      <c r="I43" s="19" t="n"/>
      <c r="J43" s="17" t="n"/>
      <c r="K43" s="18" t="n"/>
      <c r="L43" s="17" t="n"/>
      <c r="M43" s="18" t="n"/>
      <c r="N43" s="17" t="n"/>
      <c r="O43" s="19" t="n"/>
      <c r="P43" s="22">
        <f>IF($J43="","",IF($M43="Validé",0,$J43-Paramètres!$B$2))</f>
        <v/>
      </c>
      <c r="Q43" s="16">
        <f>IF($I43="","Sans dépendance",IFERROR(IF(INDEX('Jalons'!$M$4:$M$103,MATCH($I43,'Jalons'!$A$4:$A$103,0))="Validé","Oui","Non"),"ID introuvable"))</f>
        <v/>
      </c>
      <c r="R43" s="16">
        <f>IF($A43="","",IF($M43="Refusé","ARBITRAGE",IF(AND($Q43&lt;&gt;"Oui",$Q43&lt;&gt;"Sans dépendance"),"BLOCAGE",IF($M43="Validé","OK",IF($J43="","DATE MANQUANTE",IF($P43&lt;0,"EN RETARD",IF($P43&lt;=Paramètres!$B$4,"À ÉCHÉANCE","À SUIVRE")))))))</f>
        <v/>
      </c>
    </row>
    <row r="44" ht="23" customHeight="1">
      <c r="A44" s="19" t="n"/>
      <c r="B44" s="19" t="n"/>
      <c r="C44" s="19" t="n"/>
      <c r="D44" s="19" t="n"/>
      <c r="E44" s="19" t="n"/>
      <c r="F44" s="19" t="n"/>
      <c r="G44" s="19" t="n"/>
      <c r="H44" s="19" t="n"/>
      <c r="I44" s="19" t="n"/>
      <c r="J44" s="17" t="n"/>
      <c r="K44" s="18" t="n"/>
      <c r="L44" s="17" t="n"/>
      <c r="M44" s="18" t="n"/>
      <c r="N44" s="17" t="n"/>
      <c r="O44" s="19" t="n"/>
      <c r="P44" s="21">
        <f>IF($J44="","",IF($M44="Validé",0,$J44-Paramètres!$B$2))</f>
        <v/>
      </c>
      <c r="Q44" s="13">
        <f>IF($I44="","Sans dépendance",IFERROR(IF(INDEX('Jalons'!$M$4:$M$103,MATCH($I44,'Jalons'!$A$4:$A$103,0))="Validé","Oui","Non"),"ID introuvable"))</f>
        <v/>
      </c>
      <c r="R44" s="13">
        <f>IF($A44="","",IF($M44="Refusé","ARBITRAGE",IF(AND($Q44&lt;&gt;"Oui",$Q44&lt;&gt;"Sans dépendance"),"BLOCAGE",IF($M44="Validé","OK",IF($J44="","DATE MANQUANTE",IF($P44&lt;0,"EN RETARD",IF($P44&lt;=Paramètres!$B$4,"À ÉCHÉANCE","À SUIVRE")))))))</f>
        <v/>
      </c>
    </row>
    <row r="45" ht="23" customHeight="1">
      <c r="A45" s="19" t="n"/>
      <c r="B45" s="19" t="n"/>
      <c r="C45" s="19" t="n"/>
      <c r="D45" s="19" t="n"/>
      <c r="E45" s="19" t="n"/>
      <c r="F45" s="19" t="n"/>
      <c r="G45" s="19" t="n"/>
      <c r="H45" s="19" t="n"/>
      <c r="I45" s="19" t="n"/>
      <c r="J45" s="17" t="n"/>
      <c r="K45" s="18" t="n"/>
      <c r="L45" s="17" t="n"/>
      <c r="M45" s="18" t="n"/>
      <c r="N45" s="17" t="n"/>
      <c r="O45" s="19" t="n"/>
      <c r="P45" s="22">
        <f>IF($J45="","",IF($M45="Validé",0,$J45-Paramètres!$B$2))</f>
        <v/>
      </c>
      <c r="Q45" s="16">
        <f>IF($I45="","Sans dépendance",IFERROR(IF(INDEX('Jalons'!$M$4:$M$103,MATCH($I45,'Jalons'!$A$4:$A$103,0))="Validé","Oui","Non"),"ID introuvable"))</f>
        <v/>
      </c>
      <c r="R45" s="16">
        <f>IF($A45="","",IF($M45="Refusé","ARBITRAGE",IF(AND($Q45&lt;&gt;"Oui",$Q45&lt;&gt;"Sans dépendance"),"BLOCAGE",IF($M45="Validé","OK",IF($J45="","DATE MANQUANTE",IF($P45&lt;0,"EN RETARD",IF($P45&lt;=Paramètres!$B$4,"À ÉCHÉANCE","À SUIVRE")))))))</f>
        <v/>
      </c>
    </row>
    <row r="46" ht="23" customHeight="1">
      <c r="A46" s="19" t="n"/>
      <c r="B46" s="19" t="n"/>
      <c r="C46" s="19" t="n"/>
      <c r="D46" s="19" t="n"/>
      <c r="E46" s="19" t="n"/>
      <c r="F46" s="19" t="n"/>
      <c r="G46" s="19" t="n"/>
      <c r="H46" s="19" t="n"/>
      <c r="I46" s="19" t="n"/>
      <c r="J46" s="17" t="n"/>
      <c r="K46" s="18" t="n"/>
      <c r="L46" s="17" t="n"/>
      <c r="M46" s="18" t="n"/>
      <c r="N46" s="17" t="n"/>
      <c r="O46" s="19" t="n"/>
      <c r="P46" s="21">
        <f>IF($J46="","",IF($M46="Validé",0,$J46-Paramètres!$B$2))</f>
        <v/>
      </c>
      <c r="Q46" s="13">
        <f>IF($I46="","Sans dépendance",IFERROR(IF(INDEX('Jalons'!$M$4:$M$103,MATCH($I46,'Jalons'!$A$4:$A$103,0))="Validé","Oui","Non"),"ID introuvable"))</f>
        <v/>
      </c>
      <c r="R46" s="13">
        <f>IF($A46="","",IF($M46="Refusé","ARBITRAGE",IF(AND($Q46&lt;&gt;"Oui",$Q46&lt;&gt;"Sans dépendance"),"BLOCAGE",IF($M46="Validé","OK",IF($J46="","DATE MANQUANTE",IF($P46&lt;0,"EN RETARD",IF($P46&lt;=Paramètres!$B$4,"À ÉCHÉANCE","À SUIVRE")))))))</f>
        <v/>
      </c>
    </row>
    <row r="47" ht="23" customHeight="1">
      <c r="A47" s="19" t="n"/>
      <c r="B47" s="19" t="n"/>
      <c r="C47" s="19" t="n"/>
      <c r="D47" s="19" t="n"/>
      <c r="E47" s="19" t="n"/>
      <c r="F47" s="19" t="n"/>
      <c r="G47" s="19" t="n"/>
      <c r="H47" s="19" t="n"/>
      <c r="I47" s="19" t="n"/>
      <c r="J47" s="17" t="n"/>
      <c r="K47" s="18" t="n"/>
      <c r="L47" s="17" t="n"/>
      <c r="M47" s="18" t="n"/>
      <c r="N47" s="17" t="n"/>
      <c r="O47" s="19" t="n"/>
      <c r="P47" s="22">
        <f>IF($J47="","",IF($M47="Validé",0,$J47-Paramètres!$B$2))</f>
        <v/>
      </c>
      <c r="Q47" s="16">
        <f>IF($I47="","Sans dépendance",IFERROR(IF(INDEX('Jalons'!$M$4:$M$103,MATCH($I47,'Jalons'!$A$4:$A$103,0))="Validé","Oui","Non"),"ID introuvable"))</f>
        <v/>
      </c>
      <c r="R47" s="16">
        <f>IF($A47="","",IF($M47="Refusé","ARBITRAGE",IF(AND($Q47&lt;&gt;"Oui",$Q47&lt;&gt;"Sans dépendance"),"BLOCAGE",IF($M47="Validé","OK",IF($J47="","DATE MANQUANTE",IF($P47&lt;0,"EN RETARD",IF($P47&lt;=Paramètres!$B$4,"À ÉCHÉANCE","À SUIVRE")))))))</f>
        <v/>
      </c>
    </row>
    <row r="48" ht="23" customHeight="1">
      <c r="A48" s="19" t="n"/>
      <c r="B48" s="19" t="n"/>
      <c r="C48" s="19" t="n"/>
      <c r="D48" s="19" t="n"/>
      <c r="E48" s="19" t="n"/>
      <c r="F48" s="19" t="n"/>
      <c r="G48" s="19" t="n"/>
      <c r="H48" s="19" t="n"/>
      <c r="I48" s="19" t="n"/>
      <c r="J48" s="17" t="n"/>
      <c r="K48" s="18" t="n"/>
      <c r="L48" s="17" t="n"/>
      <c r="M48" s="18" t="n"/>
      <c r="N48" s="17" t="n"/>
      <c r="O48" s="19" t="n"/>
      <c r="P48" s="21">
        <f>IF($J48="","",IF($M48="Validé",0,$J48-Paramètres!$B$2))</f>
        <v/>
      </c>
      <c r="Q48" s="13">
        <f>IF($I48="","Sans dépendance",IFERROR(IF(INDEX('Jalons'!$M$4:$M$103,MATCH($I48,'Jalons'!$A$4:$A$103,0))="Validé","Oui","Non"),"ID introuvable"))</f>
        <v/>
      </c>
      <c r="R48" s="13">
        <f>IF($A48="","",IF($M48="Refusé","ARBITRAGE",IF(AND($Q48&lt;&gt;"Oui",$Q48&lt;&gt;"Sans dépendance"),"BLOCAGE",IF($M48="Validé","OK",IF($J48="","DATE MANQUANTE",IF($P48&lt;0,"EN RETARD",IF($P48&lt;=Paramètres!$B$4,"À ÉCHÉANCE","À SUIVRE")))))))</f>
        <v/>
      </c>
    </row>
    <row r="49" ht="23" customHeight="1">
      <c r="A49" s="19" t="n"/>
      <c r="B49" s="19" t="n"/>
      <c r="C49" s="19" t="n"/>
      <c r="D49" s="19" t="n"/>
      <c r="E49" s="19" t="n"/>
      <c r="F49" s="19" t="n"/>
      <c r="G49" s="19" t="n"/>
      <c r="H49" s="19" t="n"/>
      <c r="I49" s="19" t="n"/>
      <c r="J49" s="17" t="n"/>
      <c r="K49" s="18" t="n"/>
      <c r="L49" s="17" t="n"/>
      <c r="M49" s="18" t="n"/>
      <c r="N49" s="17" t="n"/>
      <c r="O49" s="19" t="n"/>
      <c r="P49" s="22">
        <f>IF($J49="","",IF($M49="Validé",0,$J49-Paramètres!$B$2))</f>
        <v/>
      </c>
      <c r="Q49" s="16">
        <f>IF($I49="","Sans dépendance",IFERROR(IF(INDEX('Jalons'!$M$4:$M$103,MATCH($I49,'Jalons'!$A$4:$A$103,0))="Validé","Oui","Non"),"ID introuvable"))</f>
        <v/>
      </c>
      <c r="R49" s="16">
        <f>IF($A49="","",IF($M49="Refusé","ARBITRAGE",IF(AND($Q49&lt;&gt;"Oui",$Q49&lt;&gt;"Sans dépendance"),"BLOCAGE",IF($M49="Validé","OK",IF($J49="","DATE MANQUANTE",IF($P49&lt;0,"EN RETARD",IF($P49&lt;=Paramètres!$B$4,"À ÉCHÉANCE","À SUIVRE")))))))</f>
        <v/>
      </c>
    </row>
    <row r="50" ht="23" customHeight="1">
      <c r="A50" s="19" t="n"/>
      <c r="B50" s="19" t="n"/>
      <c r="C50" s="19" t="n"/>
      <c r="D50" s="19" t="n"/>
      <c r="E50" s="19" t="n"/>
      <c r="F50" s="19" t="n"/>
      <c r="G50" s="19" t="n"/>
      <c r="H50" s="19" t="n"/>
      <c r="I50" s="19" t="n"/>
      <c r="J50" s="17" t="n"/>
      <c r="K50" s="18" t="n"/>
      <c r="L50" s="17" t="n"/>
      <c r="M50" s="18" t="n"/>
      <c r="N50" s="17" t="n"/>
      <c r="O50" s="19" t="n"/>
      <c r="P50" s="21">
        <f>IF($J50="","",IF($M50="Validé",0,$J50-Paramètres!$B$2))</f>
        <v/>
      </c>
      <c r="Q50" s="13">
        <f>IF($I50="","Sans dépendance",IFERROR(IF(INDEX('Jalons'!$M$4:$M$103,MATCH($I50,'Jalons'!$A$4:$A$103,0))="Validé","Oui","Non"),"ID introuvable"))</f>
        <v/>
      </c>
      <c r="R50" s="13">
        <f>IF($A50="","",IF($M50="Refusé","ARBITRAGE",IF(AND($Q50&lt;&gt;"Oui",$Q50&lt;&gt;"Sans dépendance"),"BLOCAGE",IF($M50="Validé","OK",IF($J50="","DATE MANQUANTE",IF($P50&lt;0,"EN RETARD",IF($P50&lt;=Paramètres!$B$4,"À ÉCHÉANCE","À SUIVRE")))))))</f>
        <v/>
      </c>
    </row>
    <row r="51" ht="23" customHeight="1">
      <c r="A51" s="19" t="n"/>
      <c r="B51" s="19" t="n"/>
      <c r="C51" s="19" t="n"/>
      <c r="D51" s="19" t="n"/>
      <c r="E51" s="19" t="n"/>
      <c r="F51" s="19" t="n"/>
      <c r="G51" s="19" t="n"/>
      <c r="H51" s="19" t="n"/>
      <c r="I51" s="19" t="n"/>
      <c r="J51" s="17" t="n"/>
      <c r="K51" s="18" t="n"/>
      <c r="L51" s="17" t="n"/>
      <c r="M51" s="18" t="n"/>
      <c r="N51" s="17" t="n"/>
      <c r="O51" s="19" t="n"/>
      <c r="P51" s="22">
        <f>IF($J51="","",IF($M51="Validé",0,$J51-Paramètres!$B$2))</f>
        <v/>
      </c>
      <c r="Q51" s="16">
        <f>IF($I51="","Sans dépendance",IFERROR(IF(INDEX('Jalons'!$M$4:$M$103,MATCH($I51,'Jalons'!$A$4:$A$103,0))="Validé","Oui","Non"),"ID introuvable"))</f>
        <v/>
      </c>
      <c r="R51" s="16">
        <f>IF($A51="","",IF($M51="Refusé","ARBITRAGE",IF(AND($Q51&lt;&gt;"Oui",$Q51&lt;&gt;"Sans dépendance"),"BLOCAGE",IF($M51="Validé","OK",IF($J51="","DATE MANQUANTE",IF($P51&lt;0,"EN RETARD",IF($P51&lt;=Paramètres!$B$4,"À ÉCHÉANCE","À SUIVRE")))))))</f>
        <v/>
      </c>
    </row>
    <row r="52" ht="23" customHeight="1">
      <c r="A52" s="19" t="n"/>
      <c r="B52" s="19" t="n"/>
      <c r="C52" s="19" t="n"/>
      <c r="D52" s="19" t="n"/>
      <c r="E52" s="19" t="n"/>
      <c r="F52" s="19" t="n"/>
      <c r="G52" s="19" t="n"/>
      <c r="H52" s="19" t="n"/>
      <c r="I52" s="19" t="n"/>
      <c r="J52" s="17" t="n"/>
      <c r="K52" s="18" t="n"/>
      <c r="L52" s="17" t="n"/>
      <c r="M52" s="18" t="n"/>
      <c r="N52" s="17" t="n"/>
      <c r="O52" s="19" t="n"/>
      <c r="P52" s="21">
        <f>IF($J52="","",IF($M52="Validé",0,$J52-Paramètres!$B$2))</f>
        <v/>
      </c>
      <c r="Q52" s="13">
        <f>IF($I52="","Sans dépendance",IFERROR(IF(INDEX('Jalons'!$M$4:$M$103,MATCH($I52,'Jalons'!$A$4:$A$103,0))="Validé","Oui","Non"),"ID introuvable"))</f>
        <v/>
      </c>
      <c r="R52" s="13">
        <f>IF($A52="","",IF($M52="Refusé","ARBITRAGE",IF(AND($Q52&lt;&gt;"Oui",$Q52&lt;&gt;"Sans dépendance"),"BLOCAGE",IF($M52="Validé","OK",IF($J52="","DATE MANQUANTE",IF($P52&lt;0,"EN RETARD",IF($P52&lt;=Paramètres!$B$4,"À ÉCHÉANCE","À SUIVRE")))))))</f>
        <v/>
      </c>
    </row>
    <row r="53" ht="23" customHeight="1">
      <c r="A53" s="19" t="n"/>
      <c r="B53" s="19" t="n"/>
      <c r="C53" s="19" t="n"/>
      <c r="D53" s="19" t="n"/>
      <c r="E53" s="19" t="n"/>
      <c r="F53" s="19" t="n"/>
      <c r="G53" s="19" t="n"/>
      <c r="H53" s="19" t="n"/>
      <c r="I53" s="19" t="n"/>
      <c r="J53" s="17" t="n"/>
      <c r="K53" s="18" t="n"/>
      <c r="L53" s="17" t="n"/>
      <c r="M53" s="18" t="n"/>
      <c r="N53" s="17" t="n"/>
      <c r="O53" s="19" t="n"/>
      <c r="P53" s="22">
        <f>IF($J53="","",IF($M53="Validé",0,$J53-Paramètres!$B$2))</f>
        <v/>
      </c>
      <c r="Q53" s="16">
        <f>IF($I53="","Sans dépendance",IFERROR(IF(INDEX('Jalons'!$M$4:$M$103,MATCH($I53,'Jalons'!$A$4:$A$103,0))="Validé","Oui","Non"),"ID introuvable"))</f>
        <v/>
      </c>
      <c r="R53" s="16">
        <f>IF($A53="","",IF($M53="Refusé","ARBITRAGE",IF(AND($Q53&lt;&gt;"Oui",$Q53&lt;&gt;"Sans dépendance"),"BLOCAGE",IF($M53="Validé","OK",IF($J53="","DATE MANQUANTE",IF($P53&lt;0,"EN RETARD",IF($P53&lt;=Paramètres!$B$4,"À ÉCHÉANCE","À SUIVRE")))))))</f>
        <v/>
      </c>
    </row>
    <row r="54" ht="23" customHeight="1">
      <c r="A54" s="19" t="n"/>
      <c r="B54" s="19" t="n"/>
      <c r="C54" s="19" t="n"/>
      <c r="D54" s="19" t="n"/>
      <c r="E54" s="19" t="n"/>
      <c r="F54" s="19" t="n"/>
      <c r="G54" s="19" t="n"/>
      <c r="H54" s="19" t="n"/>
      <c r="I54" s="19" t="n"/>
      <c r="J54" s="17" t="n"/>
      <c r="K54" s="18" t="n"/>
      <c r="L54" s="17" t="n"/>
      <c r="M54" s="18" t="n"/>
      <c r="N54" s="17" t="n"/>
      <c r="O54" s="19" t="n"/>
      <c r="P54" s="21">
        <f>IF($J54="","",IF($M54="Validé",0,$J54-Paramètres!$B$2))</f>
        <v/>
      </c>
      <c r="Q54" s="13">
        <f>IF($I54="","Sans dépendance",IFERROR(IF(INDEX('Jalons'!$M$4:$M$103,MATCH($I54,'Jalons'!$A$4:$A$103,0))="Validé","Oui","Non"),"ID introuvable"))</f>
        <v/>
      </c>
      <c r="R54" s="13">
        <f>IF($A54="","",IF($M54="Refusé","ARBITRAGE",IF(AND($Q54&lt;&gt;"Oui",$Q54&lt;&gt;"Sans dépendance"),"BLOCAGE",IF($M54="Validé","OK",IF($J54="","DATE MANQUANTE",IF($P54&lt;0,"EN RETARD",IF($P54&lt;=Paramètres!$B$4,"À ÉCHÉANCE","À SUIVRE")))))))</f>
        <v/>
      </c>
    </row>
    <row r="55" ht="23" customHeight="1">
      <c r="A55" s="19" t="n"/>
      <c r="B55" s="19" t="n"/>
      <c r="C55" s="19" t="n"/>
      <c r="D55" s="19" t="n"/>
      <c r="E55" s="19" t="n"/>
      <c r="F55" s="19" t="n"/>
      <c r="G55" s="19" t="n"/>
      <c r="H55" s="19" t="n"/>
      <c r="I55" s="19" t="n"/>
      <c r="J55" s="17" t="n"/>
      <c r="K55" s="18" t="n"/>
      <c r="L55" s="17" t="n"/>
      <c r="M55" s="18" t="n"/>
      <c r="N55" s="17" t="n"/>
      <c r="O55" s="19" t="n"/>
      <c r="P55" s="22">
        <f>IF($J55="","",IF($M55="Validé",0,$J55-Paramètres!$B$2))</f>
        <v/>
      </c>
      <c r="Q55" s="16">
        <f>IF($I55="","Sans dépendance",IFERROR(IF(INDEX('Jalons'!$M$4:$M$103,MATCH($I55,'Jalons'!$A$4:$A$103,0))="Validé","Oui","Non"),"ID introuvable"))</f>
        <v/>
      </c>
      <c r="R55" s="16">
        <f>IF($A55="","",IF($M55="Refusé","ARBITRAGE",IF(AND($Q55&lt;&gt;"Oui",$Q55&lt;&gt;"Sans dépendance"),"BLOCAGE",IF($M55="Validé","OK",IF($J55="","DATE MANQUANTE",IF($P55&lt;0,"EN RETARD",IF($P55&lt;=Paramètres!$B$4,"À ÉCHÉANCE","À SUIVRE")))))))</f>
        <v/>
      </c>
    </row>
    <row r="56" ht="23" customHeight="1">
      <c r="A56" s="19" t="n"/>
      <c r="B56" s="19" t="n"/>
      <c r="C56" s="19" t="n"/>
      <c r="D56" s="19" t="n"/>
      <c r="E56" s="19" t="n"/>
      <c r="F56" s="19" t="n"/>
      <c r="G56" s="19" t="n"/>
      <c r="H56" s="19" t="n"/>
      <c r="I56" s="19" t="n"/>
      <c r="J56" s="17" t="n"/>
      <c r="K56" s="18" t="n"/>
      <c r="L56" s="17" t="n"/>
      <c r="M56" s="18" t="n"/>
      <c r="N56" s="17" t="n"/>
      <c r="O56" s="19" t="n"/>
      <c r="P56" s="21">
        <f>IF($J56="","",IF($M56="Validé",0,$J56-Paramètres!$B$2))</f>
        <v/>
      </c>
      <c r="Q56" s="13">
        <f>IF($I56="","Sans dépendance",IFERROR(IF(INDEX('Jalons'!$M$4:$M$103,MATCH($I56,'Jalons'!$A$4:$A$103,0))="Validé","Oui","Non"),"ID introuvable"))</f>
        <v/>
      </c>
      <c r="R56" s="13">
        <f>IF($A56="","",IF($M56="Refusé","ARBITRAGE",IF(AND($Q56&lt;&gt;"Oui",$Q56&lt;&gt;"Sans dépendance"),"BLOCAGE",IF($M56="Validé","OK",IF($J56="","DATE MANQUANTE",IF($P56&lt;0,"EN RETARD",IF($P56&lt;=Paramètres!$B$4,"À ÉCHÉANCE","À SUIVRE")))))))</f>
        <v/>
      </c>
    </row>
    <row r="57" ht="23" customHeight="1">
      <c r="A57" s="19" t="n"/>
      <c r="B57" s="19" t="n"/>
      <c r="C57" s="19" t="n"/>
      <c r="D57" s="19" t="n"/>
      <c r="E57" s="19" t="n"/>
      <c r="F57" s="19" t="n"/>
      <c r="G57" s="19" t="n"/>
      <c r="H57" s="19" t="n"/>
      <c r="I57" s="19" t="n"/>
      <c r="J57" s="17" t="n"/>
      <c r="K57" s="18" t="n"/>
      <c r="L57" s="17" t="n"/>
      <c r="M57" s="18" t="n"/>
      <c r="N57" s="17" t="n"/>
      <c r="O57" s="19" t="n"/>
      <c r="P57" s="22">
        <f>IF($J57="","",IF($M57="Validé",0,$J57-Paramètres!$B$2))</f>
        <v/>
      </c>
      <c r="Q57" s="16">
        <f>IF($I57="","Sans dépendance",IFERROR(IF(INDEX('Jalons'!$M$4:$M$103,MATCH($I57,'Jalons'!$A$4:$A$103,0))="Validé","Oui","Non"),"ID introuvable"))</f>
        <v/>
      </c>
      <c r="R57" s="16">
        <f>IF($A57="","",IF($M57="Refusé","ARBITRAGE",IF(AND($Q57&lt;&gt;"Oui",$Q57&lt;&gt;"Sans dépendance"),"BLOCAGE",IF($M57="Validé","OK",IF($J57="","DATE MANQUANTE",IF($P57&lt;0,"EN RETARD",IF($P57&lt;=Paramètres!$B$4,"À ÉCHÉANCE","À SUIVRE")))))))</f>
        <v/>
      </c>
    </row>
    <row r="58" ht="23" customHeight="1">
      <c r="A58" s="19" t="n"/>
      <c r="B58" s="19" t="n"/>
      <c r="C58" s="19" t="n"/>
      <c r="D58" s="19" t="n"/>
      <c r="E58" s="19" t="n"/>
      <c r="F58" s="19" t="n"/>
      <c r="G58" s="19" t="n"/>
      <c r="H58" s="19" t="n"/>
      <c r="I58" s="19" t="n"/>
      <c r="J58" s="17" t="n"/>
      <c r="K58" s="18" t="n"/>
      <c r="L58" s="17" t="n"/>
      <c r="M58" s="18" t="n"/>
      <c r="N58" s="17" t="n"/>
      <c r="O58" s="19" t="n"/>
      <c r="P58" s="21">
        <f>IF($J58="","",IF($M58="Validé",0,$J58-Paramètres!$B$2))</f>
        <v/>
      </c>
      <c r="Q58" s="13">
        <f>IF($I58="","Sans dépendance",IFERROR(IF(INDEX('Jalons'!$M$4:$M$103,MATCH($I58,'Jalons'!$A$4:$A$103,0))="Validé","Oui","Non"),"ID introuvable"))</f>
        <v/>
      </c>
      <c r="R58" s="13">
        <f>IF($A58="","",IF($M58="Refusé","ARBITRAGE",IF(AND($Q58&lt;&gt;"Oui",$Q58&lt;&gt;"Sans dépendance"),"BLOCAGE",IF($M58="Validé","OK",IF($J58="","DATE MANQUANTE",IF($P58&lt;0,"EN RETARD",IF($P58&lt;=Paramètres!$B$4,"À ÉCHÉANCE","À SUIVRE")))))))</f>
        <v/>
      </c>
    </row>
    <row r="59" ht="23" customHeight="1">
      <c r="A59" s="19" t="n"/>
      <c r="B59" s="19" t="n"/>
      <c r="C59" s="19" t="n"/>
      <c r="D59" s="19" t="n"/>
      <c r="E59" s="19" t="n"/>
      <c r="F59" s="19" t="n"/>
      <c r="G59" s="19" t="n"/>
      <c r="H59" s="19" t="n"/>
      <c r="I59" s="19" t="n"/>
      <c r="J59" s="17" t="n"/>
      <c r="K59" s="18" t="n"/>
      <c r="L59" s="17" t="n"/>
      <c r="M59" s="18" t="n"/>
      <c r="N59" s="17" t="n"/>
      <c r="O59" s="19" t="n"/>
      <c r="P59" s="22">
        <f>IF($J59="","",IF($M59="Validé",0,$J59-Paramètres!$B$2))</f>
        <v/>
      </c>
      <c r="Q59" s="16">
        <f>IF($I59="","Sans dépendance",IFERROR(IF(INDEX('Jalons'!$M$4:$M$103,MATCH($I59,'Jalons'!$A$4:$A$103,0))="Validé","Oui","Non"),"ID introuvable"))</f>
        <v/>
      </c>
      <c r="R59" s="16">
        <f>IF($A59="","",IF($M59="Refusé","ARBITRAGE",IF(AND($Q59&lt;&gt;"Oui",$Q59&lt;&gt;"Sans dépendance"),"BLOCAGE",IF($M59="Validé","OK",IF($J59="","DATE MANQUANTE",IF($P59&lt;0,"EN RETARD",IF($P59&lt;=Paramètres!$B$4,"À ÉCHÉANCE","À SUIVRE")))))))</f>
        <v/>
      </c>
    </row>
    <row r="60" ht="23" customHeight="1">
      <c r="A60" s="19" t="n"/>
      <c r="B60" s="19" t="n"/>
      <c r="C60" s="19" t="n"/>
      <c r="D60" s="19" t="n"/>
      <c r="E60" s="19" t="n"/>
      <c r="F60" s="19" t="n"/>
      <c r="G60" s="19" t="n"/>
      <c r="H60" s="19" t="n"/>
      <c r="I60" s="19" t="n"/>
      <c r="J60" s="17" t="n"/>
      <c r="K60" s="18" t="n"/>
      <c r="L60" s="17" t="n"/>
      <c r="M60" s="18" t="n"/>
      <c r="N60" s="17" t="n"/>
      <c r="O60" s="19" t="n"/>
      <c r="P60" s="21">
        <f>IF($J60="","",IF($M60="Validé",0,$J60-Paramètres!$B$2))</f>
        <v/>
      </c>
      <c r="Q60" s="13">
        <f>IF($I60="","Sans dépendance",IFERROR(IF(INDEX('Jalons'!$M$4:$M$103,MATCH($I60,'Jalons'!$A$4:$A$103,0))="Validé","Oui","Non"),"ID introuvable"))</f>
        <v/>
      </c>
      <c r="R60" s="13">
        <f>IF($A60="","",IF($M60="Refusé","ARBITRAGE",IF(AND($Q60&lt;&gt;"Oui",$Q60&lt;&gt;"Sans dépendance"),"BLOCAGE",IF($M60="Validé","OK",IF($J60="","DATE MANQUANTE",IF($P60&lt;0,"EN RETARD",IF($P60&lt;=Paramètres!$B$4,"À ÉCHÉANCE","À SUIVRE")))))))</f>
        <v/>
      </c>
    </row>
    <row r="61" ht="23" customHeight="1">
      <c r="A61" s="19" t="n"/>
      <c r="B61" s="19" t="n"/>
      <c r="C61" s="19" t="n"/>
      <c r="D61" s="19" t="n"/>
      <c r="E61" s="19" t="n"/>
      <c r="F61" s="19" t="n"/>
      <c r="G61" s="19" t="n"/>
      <c r="H61" s="19" t="n"/>
      <c r="I61" s="19" t="n"/>
      <c r="J61" s="17" t="n"/>
      <c r="K61" s="18" t="n"/>
      <c r="L61" s="17" t="n"/>
      <c r="M61" s="18" t="n"/>
      <c r="N61" s="17" t="n"/>
      <c r="O61" s="19" t="n"/>
      <c r="P61" s="22">
        <f>IF($J61="","",IF($M61="Validé",0,$J61-Paramètres!$B$2))</f>
        <v/>
      </c>
      <c r="Q61" s="16">
        <f>IF($I61="","Sans dépendance",IFERROR(IF(INDEX('Jalons'!$M$4:$M$103,MATCH($I61,'Jalons'!$A$4:$A$103,0))="Validé","Oui","Non"),"ID introuvable"))</f>
        <v/>
      </c>
      <c r="R61" s="16">
        <f>IF($A61="","",IF($M61="Refusé","ARBITRAGE",IF(AND($Q61&lt;&gt;"Oui",$Q61&lt;&gt;"Sans dépendance"),"BLOCAGE",IF($M61="Validé","OK",IF($J61="","DATE MANQUANTE",IF($P61&lt;0,"EN RETARD",IF($P61&lt;=Paramètres!$B$4,"À ÉCHÉANCE","À SUIVRE")))))))</f>
        <v/>
      </c>
    </row>
    <row r="62" ht="23" customHeight="1">
      <c r="A62" s="19" t="n"/>
      <c r="B62" s="19" t="n"/>
      <c r="C62" s="19" t="n"/>
      <c r="D62" s="19" t="n"/>
      <c r="E62" s="19" t="n"/>
      <c r="F62" s="19" t="n"/>
      <c r="G62" s="19" t="n"/>
      <c r="H62" s="19" t="n"/>
      <c r="I62" s="19" t="n"/>
      <c r="J62" s="17" t="n"/>
      <c r="K62" s="18" t="n"/>
      <c r="L62" s="17" t="n"/>
      <c r="M62" s="18" t="n"/>
      <c r="N62" s="17" t="n"/>
      <c r="O62" s="19" t="n"/>
      <c r="P62" s="21">
        <f>IF($J62="","",IF($M62="Validé",0,$J62-Paramètres!$B$2))</f>
        <v/>
      </c>
      <c r="Q62" s="13">
        <f>IF($I62="","Sans dépendance",IFERROR(IF(INDEX('Jalons'!$M$4:$M$103,MATCH($I62,'Jalons'!$A$4:$A$103,0))="Validé","Oui","Non"),"ID introuvable"))</f>
        <v/>
      </c>
      <c r="R62" s="13">
        <f>IF($A62="","",IF($M62="Refusé","ARBITRAGE",IF(AND($Q62&lt;&gt;"Oui",$Q62&lt;&gt;"Sans dépendance"),"BLOCAGE",IF($M62="Validé","OK",IF($J62="","DATE MANQUANTE",IF($P62&lt;0,"EN RETARD",IF($P62&lt;=Paramètres!$B$4,"À ÉCHÉANCE","À SUIVRE")))))))</f>
        <v/>
      </c>
    </row>
    <row r="63" ht="23" customHeight="1">
      <c r="A63" s="19" t="n"/>
      <c r="B63" s="19" t="n"/>
      <c r="C63" s="19" t="n"/>
      <c r="D63" s="19" t="n"/>
      <c r="E63" s="19" t="n"/>
      <c r="F63" s="19" t="n"/>
      <c r="G63" s="19" t="n"/>
      <c r="H63" s="19" t="n"/>
      <c r="I63" s="19" t="n"/>
      <c r="J63" s="17" t="n"/>
      <c r="K63" s="18" t="n"/>
      <c r="L63" s="17" t="n"/>
      <c r="M63" s="18" t="n"/>
      <c r="N63" s="17" t="n"/>
      <c r="O63" s="19" t="n"/>
      <c r="P63" s="22">
        <f>IF($J63="","",IF($M63="Validé",0,$J63-Paramètres!$B$2))</f>
        <v/>
      </c>
      <c r="Q63" s="16">
        <f>IF($I63="","Sans dépendance",IFERROR(IF(INDEX('Jalons'!$M$4:$M$103,MATCH($I63,'Jalons'!$A$4:$A$103,0))="Validé","Oui","Non"),"ID introuvable"))</f>
        <v/>
      </c>
      <c r="R63" s="16">
        <f>IF($A63="","",IF($M63="Refusé","ARBITRAGE",IF(AND($Q63&lt;&gt;"Oui",$Q63&lt;&gt;"Sans dépendance"),"BLOCAGE",IF($M63="Validé","OK",IF($J63="","DATE MANQUANTE",IF($P63&lt;0,"EN RETARD",IF($P63&lt;=Paramètres!$B$4,"À ÉCHÉANCE","À SUIVRE")))))))</f>
        <v/>
      </c>
    </row>
    <row r="64" ht="23" customHeight="1">
      <c r="A64" s="19" t="n"/>
      <c r="B64" s="19" t="n"/>
      <c r="C64" s="19" t="n"/>
      <c r="D64" s="19" t="n"/>
      <c r="E64" s="19" t="n"/>
      <c r="F64" s="19" t="n"/>
      <c r="G64" s="19" t="n"/>
      <c r="H64" s="19" t="n"/>
      <c r="I64" s="19" t="n"/>
      <c r="J64" s="17" t="n"/>
      <c r="K64" s="18" t="n"/>
      <c r="L64" s="17" t="n"/>
      <c r="M64" s="18" t="n"/>
      <c r="N64" s="17" t="n"/>
      <c r="O64" s="19" t="n"/>
      <c r="P64" s="21">
        <f>IF($J64="","",IF($M64="Validé",0,$J64-Paramètres!$B$2))</f>
        <v/>
      </c>
      <c r="Q64" s="13">
        <f>IF($I64="","Sans dépendance",IFERROR(IF(INDEX('Jalons'!$M$4:$M$103,MATCH($I64,'Jalons'!$A$4:$A$103,0))="Validé","Oui","Non"),"ID introuvable"))</f>
        <v/>
      </c>
      <c r="R64" s="13">
        <f>IF($A64="","",IF($M64="Refusé","ARBITRAGE",IF(AND($Q64&lt;&gt;"Oui",$Q64&lt;&gt;"Sans dépendance"),"BLOCAGE",IF($M64="Validé","OK",IF($J64="","DATE MANQUANTE",IF($P64&lt;0,"EN RETARD",IF($P64&lt;=Paramètres!$B$4,"À ÉCHÉANCE","À SUIVRE")))))))</f>
        <v/>
      </c>
    </row>
    <row r="65" ht="23" customHeight="1">
      <c r="A65" s="19" t="n"/>
      <c r="B65" s="19" t="n"/>
      <c r="C65" s="19" t="n"/>
      <c r="D65" s="19" t="n"/>
      <c r="E65" s="19" t="n"/>
      <c r="F65" s="19" t="n"/>
      <c r="G65" s="19" t="n"/>
      <c r="H65" s="19" t="n"/>
      <c r="I65" s="19" t="n"/>
      <c r="J65" s="17" t="n"/>
      <c r="K65" s="18" t="n"/>
      <c r="L65" s="17" t="n"/>
      <c r="M65" s="18" t="n"/>
      <c r="N65" s="17" t="n"/>
      <c r="O65" s="19" t="n"/>
      <c r="P65" s="22">
        <f>IF($J65="","",IF($M65="Validé",0,$J65-Paramètres!$B$2))</f>
        <v/>
      </c>
      <c r="Q65" s="16">
        <f>IF($I65="","Sans dépendance",IFERROR(IF(INDEX('Jalons'!$M$4:$M$103,MATCH($I65,'Jalons'!$A$4:$A$103,0))="Validé","Oui","Non"),"ID introuvable"))</f>
        <v/>
      </c>
      <c r="R65" s="16">
        <f>IF($A65="","",IF($M65="Refusé","ARBITRAGE",IF(AND($Q65&lt;&gt;"Oui",$Q65&lt;&gt;"Sans dépendance"),"BLOCAGE",IF($M65="Validé","OK",IF($J65="","DATE MANQUANTE",IF($P65&lt;0,"EN RETARD",IF($P65&lt;=Paramètres!$B$4,"À ÉCHÉANCE","À SUIVRE")))))))</f>
        <v/>
      </c>
    </row>
    <row r="66" ht="23" customHeight="1">
      <c r="A66" s="19" t="n"/>
      <c r="B66" s="19" t="n"/>
      <c r="C66" s="19" t="n"/>
      <c r="D66" s="19" t="n"/>
      <c r="E66" s="19" t="n"/>
      <c r="F66" s="19" t="n"/>
      <c r="G66" s="19" t="n"/>
      <c r="H66" s="19" t="n"/>
      <c r="I66" s="19" t="n"/>
      <c r="J66" s="17" t="n"/>
      <c r="K66" s="18" t="n"/>
      <c r="L66" s="17" t="n"/>
      <c r="M66" s="18" t="n"/>
      <c r="N66" s="17" t="n"/>
      <c r="O66" s="19" t="n"/>
      <c r="P66" s="21">
        <f>IF($J66="","",IF($M66="Validé",0,$J66-Paramètres!$B$2))</f>
        <v/>
      </c>
      <c r="Q66" s="13">
        <f>IF($I66="","Sans dépendance",IFERROR(IF(INDEX('Jalons'!$M$4:$M$103,MATCH($I66,'Jalons'!$A$4:$A$103,0))="Validé","Oui","Non"),"ID introuvable"))</f>
        <v/>
      </c>
      <c r="R66" s="13">
        <f>IF($A66="","",IF($M66="Refusé","ARBITRAGE",IF(AND($Q66&lt;&gt;"Oui",$Q66&lt;&gt;"Sans dépendance"),"BLOCAGE",IF($M66="Validé","OK",IF($J66="","DATE MANQUANTE",IF($P66&lt;0,"EN RETARD",IF($P66&lt;=Paramètres!$B$4,"À ÉCHÉANCE","À SUIVRE")))))))</f>
        <v/>
      </c>
    </row>
    <row r="67" ht="23" customHeight="1">
      <c r="A67" s="19" t="n"/>
      <c r="B67" s="19" t="n"/>
      <c r="C67" s="19" t="n"/>
      <c r="D67" s="19" t="n"/>
      <c r="E67" s="19" t="n"/>
      <c r="F67" s="19" t="n"/>
      <c r="G67" s="19" t="n"/>
      <c r="H67" s="19" t="n"/>
      <c r="I67" s="19" t="n"/>
      <c r="J67" s="17" t="n"/>
      <c r="K67" s="18" t="n"/>
      <c r="L67" s="17" t="n"/>
      <c r="M67" s="18" t="n"/>
      <c r="N67" s="17" t="n"/>
      <c r="O67" s="19" t="n"/>
      <c r="P67" s="22">
        <f>IF($J67="","",IF($M67="Validé",0,$J67-Paramètres!$B$2))</f>
        <v/>
      </c>
      <c r="Q67" s="16">
        <f>IF($I67="","Sans dépendance",IFERROR(IF(INDEX('Jalons'!$M$4:$M$103,MATCH($I67,'Jalons'!$A$4:$A$103,0))="Validé","Oui","Non"),"ID introuvable"))</f>
        <v/>
      </c>
      <c r="R67" s="16">
        <f>IF($A67="","",IF($M67="Refusé","ARBITRAGE",IF(AND($Q67&lt;&gt;"Oui",$Q67&lt;&gt;"Sans dépendance"),"BLOCAGE",IF($M67="Validé","OK",IF($J67="","DATE MANQUANTE",IF($P67&lt;0,"EN RETARD",IF($P67&lt;=Paramètres!$B$4,"À ÉCHÉANCE","À SUIVRE")))))))</f>
        <v/>
      </c>
    </row>
    <row r="68" ht="23" customHeight="1">
      <c r="A68" s="19" t="n"/>
      <c r="B68" s="19" t="n"/>
      <c r="C68" s="19" t="n"/>
      <c r="D68" s="19" t="n"/>
      <c r="E68" s="19" t="n"/>
      <c r="F68" s="19" t="n"/>
      <c r="G68" s="19" t="n"/>
      <c r="H68" s="19" t="n"/>
      <c r="I68" s="19" t="n"/>
      <c r="J68" s="17" t="n"/>
      <c r="K68" s="18" t="n"/>
      <c r="L68" s="17" t="n"/>
      <c r="M68" s="18" t="n"/>
      <c r="N68" s="17" t="n"/>
      <c r="O68" s="19" t="n"/>
      <c r="P68" s="21">
        <f>IF($J68="","",IF($M68="Validé",0,$J68-Paramètres!$B$2))</f>
        <v/>
      </c>
      <c r="Q68" s="13">
        <f>IF($I68="","Sans dépendance",IFERROR(IF(INDEX('Jalons'!$M$4:$M$103,MATCH($I68,'Jalons'!$A$4:$A$103,0))="Validé","Oui","Non"),"ID introuvable"))</f>
        <v/>
      </c>
      <c r="R68" s="13">
        <f>IF($A68="","",IF($M68="Refusé","ARBITRAGE",IF(AND($Q68&lt;&gt;"Oui",$Q68&lt;&gt;"Sans dépendance"),"BLOCAGE",IF($M68="Validé","OK",IF($J68="","DATE MANQUANTE",IF($P68&lt;0,"EN RETARD",IF($P68&lt;=Paramètres!$B$4,"À ÉCHÉANCE","À SUIVRE")))))))</f>
        <v/>
      </c>
    </row>
    <row r="69" ht="23" customHeight="1">
      <c r="A69" s="19" t="n"/>
      <c r="B69" s="19" t="n"/>
      <c r="C69" s="19" t="n"/>
      <c r="D69" s="19" t="n"/>
      <c r="E69" s="19" t="n"/>
      <c r="F69" s="19" t="n"/>
      <c r="G69" s="19" t="n"/>
      <c r="H69" s="19" t="n"/>
      <c r="I69" s="19" t="n"/>
      <c r="J69" s="17" t="n"/>
      <c r="K69" s="18" t="n"/>
      <c r="L69" s="17" t="n"/>
      <c r="M69" s="18" t="n"/>
      <c r="N69" s="17" t="n"/>
      <c r="O69" s="19" t="n"/>
      <c r="P69" s="22">
        <f>IF($J69="","",IF($M69="Validé",0,$J69-Paramètres!$B$2))</f>
        <v/>
      </c>
      <c r="Q69" s="16">
        <f>IF($I69="","Sans dépendance",IFERROR(IF(INDEX('Jalons'!$M$4:$M$103,MATCH($I69,'Jalons'!$A$4:$A$103,0))="Validé","Oui","Non"),"ID introuvable"))</f>
        <v/>
      </c>
      <c r="R69" s="16">
        <f>IF($A69="","",IF($M69="Refusé","ARBITRAGE",IF(AND($Q69&lt;&gt;"Oui",$Q69&lt;&gt;"Sans dépendance"),"BLOCAGE",IF($M69="Validé","OK",IF($J69="","DATE MANQUANTE",IF($P69&lt;0,"EN RETARD",IF($P69&lt;=Paramètres!$B$4,"À ÉCHÉANCE","À SUIVRE")))))))</f>
        <v/>
      </c>
    </row>
    <row r="70" ht="23" customHeight="1">
      <c r="A70" s="19" t="n"/>
      <c r="B70" s="19" t="n"/>
      <c r="C70" s="19" t="n"/>
      <c r="D70" s="19" t="n"/>
      <c r="E70" s="19" t="n"/>
      <c r="F70" s="19" t="n"/>
      <c r="G70" s="19" t="n"/>
      <c r="H70" s="19" t="n"/>
      <c r="I70" s="19" t="n"/>
      <c r="J70" s="17" t="n"/>
      <c r="K70" s="18" t="n"/>
      <c r="L70" s="17" t="n"/>
      <c r="M70" s="18" t="n"/>
      <c r="N70" s="17" t="n"/>
      <c r="O70" s="19" t="n"/>
      <c r="P70" s="21">
        <f>IF($J70="","",IF($M70="Validé",0,$J70-Paramètres!$B$2))</f>
        <v/>
      </c>
      <c r="Q70" s="13">
        <f>IF($I70="","Sans dépendance",IFERROR(IF(INDEX('Jalons'!$M$4:$M$103,MATCH($I70,'Jalons'!$A$4:$A$103,0))="Validé","Oui","Non"),"ID introuvable"))</f>
        <v/>
      </c>
      <c r="R70" s="13">
        <f>IF($A70="","",IF($M70="Refusé","ARBITRAGE",IF(AND($Q70&lt;&gt;"Oui",$Q70&lt;&gt;"Sans dépendance"),"BLOCAGE",IF($M70="Validé","OK",IF($J70="","DATE MANQUANTE",IF($P70&lt;0,"EN RETARD",IF($P70&lt;=Paramètres!$B$4,"À ÉCHÉANCE","À SUIVRE")))))))</f>
        <v/>
      </c>
    </row>
    <row r="71" ht="23" customHeight="1">
      <c r="A71" s="19" t="n"/>
      <c r="B71" s="19" t="n"/>
      <c r="C71" s="19" t="n"/>
      <c r="D71" s="19" t="n"/>
      <c r="E71" s="19" t="n"/>
      <c r="F71" s="19" t="n"/>
      <c r="G71" s="19" t="n"/>
      <c r="H71" s="19" t="n"/>
      <c r="I71" s="19" t="n"/>
      <c r="J71" s="17" t="n"/>
      <c r="K71" s="18" t="n"/>
      <c r="L71" s="17" t="n"/>
      <c r="M71" s="18" t="n"/>
      <c r="N71" s="17" t="n"/>
      <c r="O71" s="19" t="n"/>
      <c r="P71" s="22">
        <f>IF($J71="","",IF($M71="Validé",0,$J71-Paramètres!$B$2))</f>
        <v/>
      </c>
      <c r="Q71" s="16">
        <f>IF($I71="","Sans dépendance",IFERROR(IF(INDEX('Jalons'!$M$4:$M$103,MATCH($I71,'Jalons'!$A$4:$A$103,0))="Validé","Oui","Non"),"ID introuvable"))</f>
        <v/>
      </c>
      <c r="R71" s="16">
        <f>IF($A71="","",IF($M71="Refusé","ARBITRAGE",IF(AND($Q71&lt;&gt;"Oui",$Q71&lt;&gt;"Sans dépendance"),"BLOCAGE",IF($M71="Validé","OK",IF($J71="","DATE MANQUANTE",IF($P71&lt;0,"EN RETARD",IF($P71&lt;=Paramètres!$B$4,"À ÉCHÉANCE","À SUIVRE")))))))</f>
        <v/>
      </c>
    </row>
    <row r="72" ht="23" customHeight="1">
      <c r="A72" s="19" t="n"/>
      <c r="B72" s="19" t="n"/>
      <c r="C72" s="19" t="n"/>
      <c r="D72" s="19" t="n"/>
      <c r="E72" s="19" t="n"/>
      <c r="F72" s="19" t="n"/>
      <c r="G72" s="19" t="n"/>
      <c r="H72" s="19" t="n"/>
      <c r="I72" s="19" t="n"/>
      <c r="J72" s="17" t="n"/>
      <c r="K72" s="18" t="n"/>
      <c r="L72" s="17" t="n"/>
      <c r="M72" s="18" t="n"/>
      <c r="N72" s="17" t="n"/>
      <c r="O72" s="19" t="n"/>
      <c r="P72" s="21">
        <f>IF($J72="","",IF($M72="Validé",0,$J72-Paramètres!$B$2))</f>
        <v/>
      </c>
      <c r="Q72" s="13">
        <f>IF($I72="","Sans dépendance",IFERROR(IF(INDEX('Jalons'!$M$4:$M$103,MATCH($I72,'Jalons'!$A$4:$A$103,0))="Validé","Oui","Non"),"ID introuvable"))</f>
        <v/>
      </c>
      <c r="R72" s="13">
        <f>IF($A72="","",IF($M72="Refusé","ARBITRAGE",IF(AND($Q72&lt;&gt;"Oui",$Q72&lt;&gt;"Sans dépendance"),"BLOCAGE",IF($M72="Validé","OK",IF($J72="","DATE MANQUANTE",IF($P72&lt;0,"EN RETARD",IF($P72&lt;=Paramètres!$B$4,"À ÉCHÉANCE","À SUIVRE")))))))</f>
        <v/>
      </c>
    </row>
    <row r="73" ht="23" customHeight="1">
      <c r="A73" s="19" t="n"/>
      <c r="B73" s="19" t="n"/>
      <c r="C73" s="19" t="n"/>
      <c r="D73" s="19" t="n"/>
      <c r="E73" s="19" t="n"/>
      <c r="F73" s="19" t="n"/>
      <c r="G73" s="19" t="n"/>
      <c r="H73" s="19" t="n"/>
      <c r="I73" s="19" t="n"/>
      <c r="J73" s="17" t="n"/>
      <c r="K73" s="18" t="n"/>
      <c r="L73" s="17" t="n"/>
      <c r="M73" s="18" t="n"/>
      <c r="N73" s="17" t="n"/>
      <c r="O73" s="19" t="n"/>
      <c r="P73" s="22">
        <f>IF($J73="","",IF($M73="Validé",0,$J73-Paramètres!$B$2))</f>
        <v/>
      </c>
      <c r="Q73" s="16">
        <f>IF($I73="","Sans dépendance",IFERROR(IF(INDEX('Jalons'!$M$4:$M$103,MATCH($I73,'Jalons'!$A$4:$A$103,0))="Validé","Oui","Non"),"ID introuvable"))</f>
        <v/>
      </c>
      <c r="R73" s="16">
        <f>IF($A73="","",IF($M73="Refusé","ARBITRAGE",IF(AND($Q73&lt;&gt;"Oui",$Q73&lt;&gt;"Sans dépendance"),"BLOCAGE",IF($M73="Validé","OK",IF($J73="","DATE MANQUANTE",IF($P73&lt;0,"EN RETARD",IF($P73&lt;=Paramètres!$B$4,"À ÉCHÉANCE","À SUIVRE")))))))</f>
        <v/>
      </c>
    </row>
    <row r="74" ht="23" customHeight="1">
      <c r="A74" s="19" t="n"/>
      <c r="B74" s="19" t="n"/>
      <c r="C74" s="19" t="n"/>
      <c r="D74" s="19" t="n"/>
      <c r="E74" s="19" t="n"/>
      <c r="F74" s="19" t="n"/>
      <c r="G74" s="19" t="n"/>
      <c r="H74" s="19" t="n"/>
      <c r="I74" s="19" t="n"/>
      <c r="J74" s="17" t="n"/>
      <c r="K74" s="18" t="n"/>
      <c r="L74" s="17" t="n"/>
      <c r="M74" s="18" t="n"/>
      <c r="N74" s="17" t="n"/>
      <c r="O74" s="19" t="n"/>
      <c r="P74" s="21">
        <f>IF($J74="","",IF($M74="Validé",0,$J74-Paramètres!$B$2))</f>
        <v/>
      </c>
      <c r="Q74" s="13">
        <f>IF($I74="","Sans dépendance",IFERROR(IF(INDEX('Jalons'!$M$4:$M$103,MATCH($I74,'Jalons'!$A$4:$A$103,0))="Validé","Oui","Non"),"ID introuvable"))</f>
        <v/>
      </c>
      <c r="R74" s="13">
        <f>IF($A74="","",IF($M74="Refusé","ARBITRAGE",IF(AND($Q74&lt;&gt;"Oui",$Q74&lt;&gt;"Sans dépendance"),"BLOCAGE",IF($M74="Validé","OK",IF($J74="","DATE MANQUANTE",IF($P74&lt;0,"EN RETARD",IF($P74&lt;=Paramètres!$B$4,"À ÉCHÉANCE","À SUIVRE")))))))</f>
        <v/>
      </c>
    </row>
    <row r="75" ht="23" customHeight="1">
      <c r="A75" s="19" t="n"/>
      <c r="B75" s="19" t="n"/>
      <c r="C75" s="19" t="n"/>
      <c r="D75" s="19" t="n"/>
      <c r="E75" s="19" t="n"/>
      <c r="F75" s="19" t="n"/>
      <c r="G75" s="19" t="n"/>
      <c r="H75" s="19" t="n"/>
      <c r="I75" s="19" t="n"/>
      <c r="J75" s="17" t="n"/>
      <c r="K75" s="18" t="n"/>
      <c r="L75" s="17" t="n"/>
      <c r="M75" s="18" t="n"/>
      <c r="N75" s="17" t="n"/>
      <c r="O75" s="19" t="n"/>
      <c r="P75" s="22">
        <f>IF($J75="","",IF($M75="Validé",0,$J75-Paramètres!$B$2))</f>
        <v/>
      </c>
      <c r="Q75" s="16">
        <f>IF($I75="","Sans dépendance",IFERROR(IF(INDEX('Jalons'!$M$4:$M$103,MATCH($I75,'Jalons'!$A$4:$A$103,0))="Validé","Oui","Non"),"ID introuvable"))</f>
        <v/>
      </c>
      <c r="R75" s="16">
        <f>IF($A75="","",IF($M75="Refusé","ARBITRAGE",IF(AND($Q75&lt;&gt;"Oui",$Q75&lt;&gt;"Sans dépendance"),"BLOCAGE",IF($M75="Validé","OK",IF($J75="","DATE MANQUANTE",IF($P75&lt;0,"EN RETARD",IF($P75&lt;=Paramètres!$B$4,"À ÉCHÉANCE","À SUIVRE")))))))</f>
        <v/>
      </c>
    </row>
    <row r="76" ht="23" customHeight="1">
      <c r="A76" s="19" t="n"/>
      <c r="B76" s="19" t="n"/>
      <c r="C76" s="19" t="n"/>
      <c r="D76" s="19" t="n"/>
      <c r="E76" s="19" t="n"/>
      <c r="F76" s="19" t="n"/>
      <c r="G76" s="19" t="n"/>
      <c r="H76" s="19" t="n"/>
      <c r="I76" s="19" t="n"/>
      <c r="J76" s="17" t="n"/>
      <c r="K76" s="18" t="n"/>
      <c r="L76" s="17" t="n"/>
      <c r="M76" s="18" t="n"/>
      <c r="N76" s="17" t="n"/>
      <c r="O76" s="19" t="n"/>
      <c r="P76" s="21">
        <f>IF($J76="","",IF($M76="Validé",0,$J76-Paramètres!$B$2))</f>
        <v/>
      </c>
      <c r="Q76" s="13">
        <f>IF($I76="","Sans dépendance",IFERROR(IF(INDEX('Jalons'!$M$4:$M$103,MATCH($I76,'Jalons'!$A$4:$A$103,0))="Validé","Oui","Non"),"ID introuvable"))</f>
        <v/>
      </c>
      <c r="R76" s="13">
        <f>IF($A76="","",IF($M76="Refusé","ARBITRAGE",IF(AND($Q76&lt;&gt;"Oui",$Q76&lt;&gt;"Sans dépendance"),"BLOCAGE",IF($M76="Validé","OK",IF($J76="","DATE MANQUANTE",IF($P76&lt;0,"EN RETARD",IF($P76&lt;=Paramètres!$B$4,"À ÉCHÉANCE","À SUIVRE")))))))</f>
        <v/>
      </c>
    </row>
    <row r="77" ht="23" customHeight="1">
      <c r="A77" s="19" t="n"/>
      <c r="B77" s="19" t="n"/>
      <c r="C77" s="19" t="n"/>
      <c r="D77" s="19" t="n"/>
      <c r="E77" s="19" t="n"/>
      <c r="F77" s="19" t="n"/>
      <c r="G77" s="19" t="n"/>
      <c r="H77" s="19" t="n"/>
      <c r="I77" s="19" t="n"/>
      <c r="J77" s="17" t="n"/>
      <c r="K77" s="18" t="n"/>
      <c r="L77" s="17" t="n"/>
      <c r="M77" s="18" t="n"/>
      <c r="N77" s="17" t="n"/>
      <c r="O77" s="19" t="n"/>
      <c r="P77" s="22">
        <f>IF($J77="","",IF($M77="Validé",0,$J77-Paramètres!$B$2))</f>
        <v/>
      </c>
      <c r="Q77" s="16">
        <f>IF($I77="","Sans dépendance",IFERROR(IF(INDEX('Jalons'!$M$4:$M$103,MATCH($I77,'Jalons'!$A$4:$A$103,0))="Validé","Oui","Non"),"ID introuvable"))</f>
        <v/>
      </c>
      <c r="R77" s="16">
        <f>IF($A77="","",IF($M77="Refusé","ARBITRAGE",IF(AND($Q77&lt;&gt;"Oui",$Q77&lt;&gt;"Sans dépendance"),"BLOCAGE",IF($M77="Validé","OK",IF($J77="","DATE MANQUANTE",IF($P77&lt;0,"EN RETARD",IF($P77&lt;=Paramètres!$B$4,"À ÉCHÉANCE","À SUIVRE")))))))</f>
        <v/>
      </c>
    </row>
    <row r="78" ht="23" customHeight="1">
      <c r="A78" s="19" t="n"/>
      <c r="B78" s="19" t="n"/>
      <c r="C78" s="19" t="n"/>
      <c r="D78" s="19" t="n"/>
      <c r="E78" s="19" t="n"/>
      <c r="F78" s="19" t="n"/>
      <c r="G78" s="19" t="n"/>
      <c r="H78" s="19" t="n"/>
      <c r="I78" s="19" t="n"/>
      <c r="J78" s="17" t="n"/>
      <c r="K78" s="18" t="n"/>
      <c r="L78" s="17" t="n"/>
      <c r="M78" s="18" t="n"/>
      <c r="N78" s="17" t="n"/>
      <c r="O78" s="19" t="n"/>
      <c r="P78" s="21">
        <f>IF($J78="","",IF($M78="Validé",0,$J78-Paramètres!$B$2))</f>
        <v/>
      </c>
      <c r="Q78" s="13">
        <f>IF($I78="","Sans dépendance",IFERROR(IF(INDEX('Jalons'!$M$4:$M$103,MATCH($I78,'Jalons'!$A$4:$A$103,0))="Validé","Oui","Non"),"ID introuvable"))</f>
        <v/>
      </c>
      <c r="R78" s="13">
        <f>IF($A78="","",IF($M78="Refusé","ARBITRAGE",IF(AND($Q78&lt;&gt;"Oui",$Q78&lt;&gt;"Sans dépendance"),"BLOCAGE",IF($M78="Validé","OK",IF($J78="","DATE MANQUANTE",IF($P78&lt;0,"EN RETARD",IF($P78&lt;=Paramètres!$B$4,"À ÉCHÉANCE","À SUIVRE")))))))</f>
        <v/>
      </c>
    </row>
    <row r="79" ht="23" customHeight="1">
      <c r="A79" s="19" t="n"/>
      <c r="B79" s="19" t="n"/>
      <c r="C79" s="19" t="n"/>
      <c r="D79" s="19" t="n"/>
      <c r="E79" s="19" t="n"/>
      <c r="F79" s="19" t="n"/>
      <c r="G79" s="19" t="n"/>
      <c r="H79" s="19" t="n"/>
      <c r="I79" s="19" t="n"/>
      <c r="J79" s="17" t="n"/>
      <c r="K79" s="18" t="n"/>
      <c r="L79" s="17" t="n"/>
      <c r="M79" s="18" t="n"/>
      <c r="N79" s="17" t="n"/>
      <c r="O79" s="19" t="n"/>
      <c r="P79" s="22">
        <f>IF($J79="","",IF($M79="Validé",0,$J79-Paramètres!$B$2))</f>
        <v/>
      </c>
      <c r="Q79" s="16">
        <f>IF($I79="","Sans dépendance",IFERROR(IF(INDEX('Jalons'!$M$4:$M$103,MATCH($I79,'Jalons'!$A$4:$A$103,0))="Validé","Oui","Non"),"ID introuvable"))</f>
        <v/>
      </c>
      <c r="R79" s="16">
        <f>IF($A79="","",IF($M79="Refusé","ARBITRAGE",IF(AND($Q79&lt;&gt;"Oui",$Q79&lt;&gt;"Sans dépendance"),"BLOCAGE",IF($M79="Validé","OK",IF($J79="","DATE MANQUANTE",IF($P79&lt;0,"EN RETARD",IF($P79&lt;=Paramètres!$B$4,"À ÉCHÉANCE","À SUIVRE")))))))</f>
        <v/>
      </c>
    </row>
    <row r="80" ht="23" customHeight="1">
      <c r="A80" s="19" t="n"/>
      <c r="B80" s="19" t="n"/>
      <c r="C80" s="19" t="n"/>
      <c r="D80" s="19" t="n"/>
      <c r="E80" s="19" t="n"/>
      <c r="F80" s="19" t="n"/>
      <c r="G80" s="19" t="n"/>
      <c r="H80" s="19" t="n"/>
      <c r="I80" s="19" t="n"/>
      <c r="J80" s="17" t="n"/>
      <c r="K80" s="18" t="n"/>
      <c r="L80" s="17" t="n"/>
      <c r="M80" s="18" t="n"/>
      <c r="N80" s="17" t="n"/>
      <c r="O80" s="19" t="n"/>
      <c r="P80" s="21">
        <f>IF($J80="","",IF($M80="Validé",0,$J80-Paramètres!$B$2))</f>
        <v/>
      </c>
      <c r="Q80" s="13">
        <f>IF($I80="","Sans dépendance",IFERROR(IF(INDEX('Jalons'!$M$4:$M$103,MATCH($I80,'Jalons'!$A$4:$A$103,0))="Validé","Oui","Non"),"ID introuvable"))</f>
        <v/>
      </c>
      <c r="R80" s="13">
        <f>IF($A80="","",IF($M80="Refusé","ARBITRAGE",IF(AND($Q80&lt;&gt;"Oui",$Q80&lt;&gt;"Sans dépendance"),"BLOCAGE",IF($M80="Validé","OK",IF($J80="","DATE MANQUANTE",IF($P80&lt;0,"EN RETARD",IF($P80&lt;=Paramètres!$B$4,"À ÉCHÉANCE","À SUIVRE")))))))</f>
        <v/>
      </c>
    </row>
    <row r="81" ht="23" customHeight="1">
      <c r="A81" s="19" t="n"/>
      <c r="B81" s="19" t="n"/>
      <c r="C81" s="19" t="n"/>
      <c r="D81" s="19" t="n"/>
      <c r="E81" s="19" t="n"/>
      <c r="F81" s="19" t="n"/>
      <c r="G81" s="19" t="n"/>
      <c r="H81" s="19" t="n"/>
      <c r="I81" s="19" t="n"/>
      <c r="J81" s="17" t="n"/>
      <c r="K81" s="18" t="n"/>
      <c r="L81" s="17" t="n"/>
      <c r="M81" s="18" t="n"/>
      <c r="N81" s="17" t="n"/>
      <c r="O81" s="19" t="n"/>
      <c r="P81" s="22">
        <f>IF($J81="","",IF($M81="Validé",0,$J81-Paramètres!$B$2))</f>
        <v/>
      </c>
      <c r="Q81" s="16">
        <f>IF($I81="","Sans dépendance",IFERROR(IF(INDEX('Jalons'!$M$4:$M$103,MATCH($I81,'Jalons'!$A$4:$A$103,0))="Validé","Oui","Non"),"ID introuvable"))</f>
        <v/>
      </c>
      <c r="R81" s="16">
        <f>IF($A81="","",IF($M81="Refusé","ARBITRAGE",IF(AND($Q81&lt;&gt;"Oui",$Q81&lt;&gt;"Sans dépendance"),"BLOCAGE",IF($M81="Validé","OK",IF($J81="","DATE MANQUANTE",IF($P81&lt;0,"EN RETARD",IF($P81&lt;=Paramètres!$B$4,"À ÉCHÉANCE","À SUIVRE")))))))</f>
        <v/>
      </c>
    </row>
    <row r="82" ht="23" customHeight="1">
      <c r="A82" s="19" t="n"/>
      <c r="B82" s="19" t="n"/>
      <c r="C82" s="19" t="n"/>
      <c r="D82" s="19" t="n"/>
      <c r="E82" s="19" t="n"/>
      <c r="F82" s="19" t="n"/>
      <c r="G82" s="19" t="n"/>
      <c r="H82" s="19" t="n"/>
      <c r="I82" s="19" t="n"/>
      <c r="J82" s="17" t="n"/>
      <c r="K82" s="18" t="n"/>
      <c r="L82" s="17" t="n"/>
      <c r="M82" s="18" t="n"/>
      <c r="N82" s="17" t="n"/>
      <c r="O82" s="19" t="n"/>
      <c r="P82" s="21">
        <f>IF($J82="","",IF($M82="Validé",0,$J82-Paramètres!$B$2))</f>
        <v/>
      </c>
      <c r="Q82" s="13">
        <f>IF($I82="","Sans dépendance",IFERROR(IF(INDEX('Jalons'!$M$4:$M$103,MATCH($I82,'Jalons'!$A$4:$A$103,0))="Validé","Oui","Non"),"ID introuvable"))</f>
        <v/>
      </c>
      <c r="R82" s="13">
        <f>IF($A82="","",IF($M82="Refusé","ARBITRAGE",IF(AND($Q82&lt;&gt;"Oui",$Q82&lt;&gt;"Sans dépendance"),"BLOCAGE",IF($M82="Validé","OK",IF($J82="","DATE MANQUANTE",IF($P82&lt;0,"EN RETARD",IF($P82&lt;=Paramètres!$B$4,"À ÉCHÉANCE","À SUIVRE")))))))</f>
        <v/>
      </c>
    </row>
    <row r="83" ht="23" customHeight="1">
      <c r="A83" s="19" t="n"/>
      <c r="B83" s="19" t="n"/>
      <c r="C83" s="19" t="n"/>
      <c r="D83" s="19" t="n"/>
      <c r="E83" s="19" t="n"/>
      <c r="F83" s="19" t="n"/>
      <c r="G83" s="19" t="n"/>
      <c r="H83" s="19" t="n"/>
      <c r="I83" s="19" t="n"/>
      <c r="J83" s="17" t="n"/>
      <c r="K83" s="18" t="n"/>
      <c r="L83" s="17" t="n"/>
      <c r="M83" s="18" t="n"/>
      <c r="N83" s="17" t="n"/>
      <c r="O83" s="19" t="n"/>
      <c r="P83" s="22">
        <f>IF($J83="","",IF($M83="Validé",0,$J83-Paramètres!$B$2))</f>
        <v/>
      </c>
      <c r="Q83" s="16">
        <f>IF($I83="","Sans dépendance",IFERROR(IF(INDEX('Jalons'!$M$4:$M$103,MATCH($I83,'Jalons'!$A$4:$A$103,0))="Validé","Oui","Non"),"ID introuvable"))</f>
        <v/>
      </c>
      <c r="R83" s="16">
        <f>IF($A83="","",IF($M83="Refusé","ARBITRAGE",IF(AND($Q83&lt;&gt;"Oui",$Q83&lt;&gt;"Sans dépendance"),"BLOCAGE",IF($M83="Validé","OK",IF($J83="","DATE MANQUANTE",IF($P83&lt;0,"EN RETARD",IF($P83&lt;=Paramètres!$B$4,"À ÉCHÉANCE","À SUIVRE")))))))</f>
        <v/>
      </c>
    </row>
    <row r="84" ht="23" customHeight="1">
      <c r="A84" s="19" t="n"/>
      <c r="B84" s="19" t="n"/>
      <c r="C84" s="19" t="n"/>
      <c r="D84" s="19" t="n"/>
      <c r="E84" s="19" t="n"/>
      <c r="F84" s="19" t="n"/>
      <c r="G84" s="19" t="n"/>
      <c r="H84" s="19" t="n"/>
      <c r="I84" s="19" t="n"/>
      <c r="J84" s="17" t="n"/>
      <c r="K84" s="18" t="n"/>
      <c r="L84" s="17" t="n"/>
      <c r="M84" s="18" t="n"/>
      <c r="N84" s="17" t="n"/>
      <c r="O84" s="19" t="n"/>
      <c r="P84" s="21">
        <f>IF($J84="","",IF($M84="Validé",0,$J84-Paramètres!$B$2))</f>
        <v/>
      </c>
      <c r="Q84" s="13">
        <f>IF($I84="","Sans dépendance",IFERROR(IF(INDEX('Jalons'!$M$4:$M$103,MATCH($I84,'Jalons'!$A$4:$A$103,0))="Validé","Oui","Non"),"ID introuvable"))</f>
        <v/>
      </c>
      <c r="R84" s="13">
        <f>IF($A84="","",IF($M84="Refusé","ARBITRAGE",IF(AND($Q84&lt;&gt;"Oui",$Q84&lt;&gt;"Sans dépendance"),"BLOCAGE",IF($M84="Validé","OK",IF($J84="","DATE MANQUANTE",IF($P84&lt;0,"EN RETARD",IF($P84&lt;=Paramètres!$B$4,"À ÉCHÉANCE","À SUIVRE")))))))</f>
        <v/>
      </c>
    </row>
    <row r="85" ht="23" customHeight="1">
      <c r="A85" s="19" t="n"/>
      <c r="B85" s="19" t="n"/>
      <c r="C85" s="19" t="n"/>
      <c r="D85" s="19" t="n"/>
      <c r="E85" s="19" t="n"/>
      <c r="F85" s="19" t="n"/>
      <c r="G85" s="19" t="n"/>
      <c r="H85" s="19" t="n"/>
      <c r="I85" s="19" t="n"/>
      <c r="J85" s="17" t="n"/>
      <c r="K85" s="18" t="n"/>
      <c r="L85" s="17" t="n"/>
      <c r="M85" s="18" t="n"/>
      <c r="N85" s="17" t="n"/>
      <c r="O85" s="19" t="n"/>
      <c r="P85" s="22">
        <f>IF($J85="","",IF($M85="Validé",0,$J85-Paramètres!$B$2))</f>
        <v/>
      </c>
      <c r="Q85" s="16">
        <f>IF($I85="","Sans dépendance",IFERROR(IF(INDEX('Jalons'!$M$4:$M$103,MATCH($I85,'Jalons'!$A$4:$A$103,0))="Validé","Oui","Non"),"ID introuvable"))</f>
        <v/>
      </c>
      <c r="R85" s="16">
        <f>IF($A85="","",IF($M85="Refusé","ARBITRAGE",IF(AND($Q85&lt;&gt;"Oui",$Q85&lt;&gt;"Sans dépendance"),"BLOCAGE",IF($M85="Validé","OK",IF($J85="","DATE MANQUANTE",IF($P85&lt;0,"EN RETARD",IF($P85&lt;=Paramètres!$B$4,"À ÉCHÉANCE","À SUIVRE")))))))</f>
        <v/>
      </c>
    </row>
    <row r="86" ht="23" customHeight="1">
      <c r="A86" s="19" t="n"/>
      <c r="B86" s="19" t="n"/>
      <c r="C86" s="19" t="n"/>
      <c r="D86" s="19" t="n"/>
      <c r="E86" s="19" t="n"/>
      <c r="F86" s="19" t="n"/>
      <c r="G86" s="19" t="n"/>
      <c r="H86" s="19" t="n"/>
      <c r="I86" s="19" t="n"/>
      <c r="J86" s="17" t="n"/>
      <c r="K86" s="18" t="n"/>
      <c r="L86" s="17" t="n"/>
      <c r="M86" s="18" t="n"/>
      <c r="N86" s="17" t="n"/>
      <c r="O86" s="19" t="n"/>
      <c r="P86" s="21">
        <f>IF($J86="","",IF($M86="Validé",0,$J86-Paramètres!$B$2))</f>
        <v/>
      </c>
      <c r="Q86" s="13">
        <f>IF($I86="","Sans dépendance",IFERROR(IF(INDEX('Jalons'!$M$4:$M$103,MATCH($I86,'Jalons'!$A$4:$A$103,0))="Validé","Oui","Non"),"ID introuvable"))</f>
        <v/>
      </c>
      <c r="R86" s="13">
        <f>IF($A86="","",IF($M86="Refusé","ARBITRAGE",IF(AND($Q86&lt;&gt;"Oui",$Q86&lt;&gt;"Sans dépendance"),"BLOCAGE",IF($M86="Validé","OK",IF($J86="","DATE MANQUANTE",IF($P86&lt;0,"EN RETARD",IF($P86&lt;=Paramètres!$B$4,"À ÉCHÉANCE","À SUIVRE")))))))</f>
        <v/>
      </c>
    </row>
    <row r="87" ht="23" customHeight="1">
      <c r="A87" s="19" t="n"/>
      <c r="B87" s="19" t="n"/>
      <c r="C87" s="19" t="n"/>
      <c r="D87" s="19" t="n"/>
      <c r="E87" s="19" t="n"/>
      <c r="F87" s="19" t="n"/>
      <c r="G87" s="19" t="n"/>
      <c r="H87" s="19" t="n"/>
      <c r="I87" s="19" t="n"/>
      <c r="J87" s="17" t="n"/>
      <c r="K87" s="18" t="n"/>
      <c r="L87" s="17" t="n"/>
      <c r="M87" s="18" t="n"/>
      <c r="N87" s="17" t="n"/>
      <c r="O87" s="19" t="n"/>
      <c r="P87" s="22">
        <f>IF($J87="","",IF($M87="Validé",0,$J87-Paramètres!$B$2))</f>
        <v/>
      </c>
      <c r="Q87" s="16">
        <f>IF($I87="","Sans dépendance",IFERROR(IF(INDEX('Jalons'!$M$4:$M$103,MATCH($I87,'Jalons'!$A$4:$A$103,0))="Validé","Oui","Non"),"ID introuvable"))</f>
        <v/>
      </c>
      <c r="R87" s="16">
        <f>IF($A87="","",IF($M87="Refusé","ARBITRAGE",IF(AND($Q87&lt;&gt;"Oui",$Q87&lt;&gt;"Sans dépendance"),"BLOCAGE",IF($M87="Validé","OK",IF($J87="","DATE MANQUANTE",IF($P87&lt;0,"EN RETARD",IF($P87&lt;=Paramètres!$B$4,"À ÉCHÉANCE","À SUIVRE")))))))</f>
        <v/>
      </c>
    </row>
    <row r="88" ht="23" customHeight="1">
      <c r="A88" s="19" t="n"/>
      <c r="B88" s="19" t="n"/>
      <c r="C88" s="19" t="n"/>
      <c r="D88" s="19" t="n"/>
      <c r="E88" s="19" t="n"/>
      <c r="F88" s="19" t="n"/>
      <c r="G88" s="19" t="n"/>
      <c r="H88" s="19" t="n"/>
      <c r="I88" s="19" t="n"/>
      <c r="J88" s="17" t="n"/>
      <c r="K88" s="18" t="n"/>
      <c r="L88" s="17" t="n"/>
      <c r="M88" s="18" t="n"/>
      <c r="N88" s="17" t="n"/>
      <c r="O88" s="19" t="n"/>
      <c r="P88" s="21">
        <f>IF($J88="","",IF($M88="Validé",0,$J88-Paramètres!$B$2))</f>
        <v/>
      </c>
      <c r="Q88" s="13">
        <f>IF($I88="","Sans dépendance",IFERROR(IF(INDEX('Jalons'!$M$4:$M$103,MATCH($I88,'Jalons'!$A$4:$A$103,0))="Validé","Oui","Non"),"ID introuvable"))</f>
        <v/>
      </c>
      <c r="R88" s="13">
        <f>IF($A88="","",IF($M88="Refusé","ARBITRAGE",IF(AND($Q88&lt;&gt;"Oui",$Q88&lt;&gt;"Sans dépendance"),"BLOCAGE",IF($M88="Validé","OK",IF($J88="","DATE MANQUANTE",IF($P88&lt;0,"EN RETARD",IF($P88&lt;=Paramètres!$B$4,"À ÉCHÉANCE","À SUIVRE")))))))</f>
        <v/>
      </c>
    </row>
    <row r="89" ht="23" customHeight="1">
      <c r="A89" s="19" t="n"/>
      <c r="B89" s="19" t="n"/>
      <c r="C89" s="19" t="n"/>
      <c r="D89" s="19" t="n"/>
      <c r="E89" s="19" t="n"/>
      <c r="F89" s="19" t="n"/>
      <c r="G89" s="19" t="n"/>
      <c r="H89" s="19" t="n"/>
      <c r="I89" s="19" t="n"/>
      <c r="J89" s="17" t="n"/>
      <c r="K89" s="18" t="n"/>
      <c r="L89" s="17" t="n"/>
      <c r="M89" s="18" t="n"/>
      <c r="N89" s="17" t="n"/>
      <c r="O89" s="19" t="n"/>
      <c r="P89" s="22">
        <f>IF($J89="","",IF($M89="Validé",0,$J89-Paramètres!$B$2))</f>
        <v/>
      </c>
      <c r="Q89" s="16">
        <f>IF($I89="","Sans dépendance",IFERROR(IF(INDEX('Jalons'!$M$4:$M$103,MATCH($I89,'Jalons'!$A$4:$A$103,0))="Validé","Oui","Non"),"ID introuvable"))</f>
        <v/>
      </c>
      <c r="R89" s="16">
        <f>IF($A89="","",IF($M89="Refusé","ARBITRAGE",IF(AND($Q89&lt;&gt;"Oui",$Q89&lt;&gt;"Sans dépendance"),"BLOCAGE",IF($M89="Validé","OK",IF($J89="","DATE MANQUANTE",IF($P89&lt;0,"EN RETARD",IF($P89&lt;=Paramètres!$B$4,"À ÉCHÉANCE","À SUIVRE")))))))</f>
        <v/>
      </c>
    </row>
    <row r="90" ht="23" customHeight="1">
      <c r="A90" s="19" t="n"/>
      <c r="B90" s="19" t="n"/>
      <c r="C90" s="19" t="n"/>
      <c r="D90" s="19" t="n"/>
      <c r="E90" s="19" t="n"/>
      <c r="F90" s="19" t="n"/>
      <c r="G90" s="19" t="n"/>
      <c r="H90" s="19" t="n"/>
      <c r="I90" s="19" t="n"/>
      <c r="J90" s="17" t="n"/>
      <c r="K90" s="18" t="n"/>
      <c r="L90" s="17" t="n"/>
      <c r="M90" s="18" t="n"/>
      <c r="N90" s="17" t="n"/>
      <c r="O90" s="19" t="n"/>
      <c r="P90" s="21">
        <f>IF($J90="","",IF($M90="Validé",0,$J90-Paramètres!$B$2))</f>
        <v/>
      </c>
      <c r="Q90" s="13">
        <f>IF($I90="","Sans dépendance",IFERROR(IF(INDEX('Jalons'!$M$4:$M$103,MATCH($I90,'Jalons'!$A$4:$A$103,0))="Validé","Oui","Non"),"ID introuvable"))</f>
        <v/>
      </c>
      <c r="R90" s="13">
        <f>IF($A90="","",IF($M90="Refusé","ARBITRAGE",IF(AND($Q90&lt;&gt;"Oui",$Q90&lt;&gt;"Sans dépendance"),"BLOCAGE",IF($M90="Validé","OK",IF($J90="","DATE MANQUANTE",IF($P90&lt;0,"EN RETARD",IF($P90&lt;=Paramètres!$B$4,"À ÉCHÉANCE","À SUIVRE")))))))</f>
        <v/>
      </c>
    </row>
    <row r="91" ht="23" customHeight="1">
      <c r="A91" s="19" t="n"/>
      <c r="B91" s="19" t="n"/>
      <c r="C91" s="19" t="n"/>
      <c r="D91" s="19" t="n"/>
      <c r="E91" s="19" t="n"/>
      <c r="F91" s="19" t="n"/>
      <c r="G91" s="19" t="n"/>
      <c r="H91" s="19" t="n"/>
      <c r="I91" s="19" t="n"/>
      <c r="J91" s="17" t="n"/>
      <c r="K91" s="18" t="n"/>
      <c r="L91" s="17" t="n"/>
      <c r="M91" s="18" t="n"/>
      <c r="N91" s="17" t="n"/>
      <c r="O91" s="19" t="n"/>
      <c r="P91" s="22">
        <f>IF($J91="","",IF($M91="Validé",0,$J91-Paramètres!$B$2))</f>
        <v/>
      </c>
      <c r="Q91" s="16">
        <f>IF($I91="","Sans dépendance",IFERROR(IF(INDEX('Jalons'!$M$4:$M$103,MATCH($I91,'Jalons'!$A$4:$A$103,0))="Validé","Oui","Non"),"ID introuvable"))</f>
        <v/>
      </c>
      <c r="R91" s="16">
        <f>IF($A91="","",IF($M91="Refusé","ARBITRAGE",IF(AND($Q91&lt;&gt;"Oui",$Q91&lt;&gt;"Sans dépendance"),"BLOCAGE",IF($M91="Validé","OK",IF($J91="","DATE MANQUANTE",IF($P91&lt;0,"EN RETARD",IF($P91&lt;=Paramètres!$B$4,"À ÉCHÉANCE","À SUIVRE")))))))</f>
        <v/>
      </c>
    </row>
    <row r="92" ht="23" customHeight="1">
      <c r="A92" s="19" t="n"/>
      <c r="B92" s="19" t="n"/>
      <c r="C92" s="19" t="n"/>
      <c r="D92" s="19" t="n"/>
      <c r="E92" s="19" t="n"/>
      <c r="F92" s="19" t="n"/>
      <c r="G92" s="19" t="n"/>
      <c r="H92" s="19" t="n"/>
      <c r="I92" s="19" t="n"/>
      <c r="J92" s="17" t="n"/>
      <c r="K92" s="18" t="n"/>
      <c r="L92" s="17" t="n"/>
      <c r="M92" s="18" t="n"/>
      <c r="N92" s="17" t="n"/>
      <c r="O92" s="19" t="n"/>
      <c r="P92" s="21">
        <f>IF($J92="","",IF($M92="Validé",0,$J92-Paramètres!$B$2))</f>
        <v/>
      </c>
      <c r="Q92" s="13">
        <f>IF($I92="","Sans dépendance",IFERROR(IF(INDEX('Jalons'!$M$4:$M$103,MATCH($I92,'Jalons'!$A$4:$A$103,0))="Validé","Oui","Non"),"ID introuvable"))</f>
        <v/>
      </c>
      <c r="R92" s="13">
        <f>IF($A92="","",IF($M92="Refusé","ARBITRAGE",IF(AND($Q92&lt;&gt;"Oui",$Q92&lt;&gt;"Sans dépendance"),"BLOCAGE",IF($M92="Validé","OK",IF($J92="","DATE MANQUANTE",IF($P92&lt;0,"EN RETARD",IF($P92&lt;=Paramètres!$B$4,"À ÉCHÉANCE","À SUIVRE")))))))</f>
        <v/>
      </c>
    </row>
    <row r="93" ht="23" customHeight="1">
      <c r="A93" s="19" t="n"/>
      <c r="B93" s="19" t="n"/>
      <c r="C93" s="19" t="n"/>
      <c r="D93" s="19" t="n"/>
      <c r="E93" s="19" t="n"/>
      <c r="F93" s="19" t="n"/>
      <c r="G93" s="19" t="n"/>
      <c r="H93" s="19" t="n"/>
      <c r="I93" s="19" t="n"/>
      <c r="J93" s="17" t="n"/>
      <c r="K93" s="18" t="n"/>
      <c r="L93" s="17" t="n"/>
      <c r="M93" s="18" t="n"/>
      <c r="N93" s="17" t="n"/>
      <c r="O93" s="19" t="n"/>
      <c r="P93" s="22">
        <f>IF($J93="","",IF($M93="Validé",0,$J93-Paramètres!$B$2))</f>
        <v/>
      </c>
      <c r="Q93" s="16">
        <f>IF($I93="","Sans dépendance",IFERROR(IF(INDEX('Jalons'!$M$4:$M$103,MATCH($I93,'Jalons'!$A$4:$A$103,0))="Validé","Oui","Non"),"ID introuvable"))</f>
        <v/>
      </c>
      <c r="R93" s="16">
        <f>IF($A93="","",IF($M93="Refusé","ARBITRAGE",IF(AND($Q93&lt;&gt;"Oui",$Q93&lt;&gt;"Sans dépendance"),"BLOCAGE",IF($M93="Validé","OK",IF($J93="","DATE MANQUANTE",IF($P93&lt;0,"EN RETARD",IF($P93&lt;=Paramètres!$B$4,"À ÉCHÉANCE","À SUIVRE")))))))</f>
        <v/>
      </c>
    </row>
    <row r="94" ht="23" customHeight="1">
      <c r="A94" s="19" t="n"/>
      <c r="B94" s="19" t="n"/>
      <c r="C94" s="19" t="n"/>
      <c r="D94" s="19" t="n"/>
      <c r="E94" s="19" t="n"/>
      <c r="F94" s="19" t="n"/>
      <c r="G94" s="19" t="n"/>
      <c r="H94" s="19" t="n"/>
      <c r="I94" s="19" t="n"/>
      <c r="J94" s="17" t="n"/>
      <c r="K94" s="18" t="n"/>
      <c r="L94" s="17" t="n"/>
      <c r="M94" s="18" t="n"/>
      <c r="N94" s="17" t="n"/>
      <c r="O94" s="19" t="n"/>
      <c r="P94" s="21">
        <f>IF($J94="","",IF($M94="Validé",0,$J94-Paramètres!$B$2))</f>
        <v/>
      </c>
      <c r="Q94" s="13">
        <f>IF($I94="","Sans dépendance",IFERROR(IF(INDEX('Jalons'!$M$4:$M$103,MATCH($I94,'Jalons'!$A$4:$A$103,0))="Validé","Oui","Non"),"ID introuvable"))</f>
        <v/>
      </c>
      <c r="R94" s="13">
        <f>IF($A94="","",IF($M94="Refusé","ARBITRAGE",IF(AND($Q94&lt;&gt;"Oui",$Q94&lt;&gt;"Sans dépendance"),"BLOCAGE",IF($M94="Validé","OK",IF($J94="","DATE MANQUANTE",IF($P94&lt;0,"EN RETARD",IF($P94&lt;=Paramètres!$B$4,"À ÉCHÉANCE","À SUIVRE")))))))</f>
        <v/>
      </c>
    </row>
    <row r="95" ht="23" customHeight="1">
      <c r="A95" s="19" t="n"/>
      <c r="B95" s="19" t="n"/>
      <c r="C95" s="19" t="n"/>
      <c r="D95" s="19" t="n"/>
      <c r="E95" s="19" t="n"/>
      <c r="F95" s="19" t="n"/>
      <c r="G95" s="19" t="n"/>
      <c r="H95" s="19" t="n"/>
      <c r="I95" s="19" t="n"/>
      <c r="J95" s="17" t="n"/>
      <c r="K95" s="18" t="n"/>
      <c r="L95" s="17" t="n"/>
      <c r="M95" s="18" t="n"/>
      <c r="N95" s="17" t="n"/>
      <c r="O95" s="19" t="n"/>
      <c r="P95" s="22">
        <f>IF($J95="","",IF($M95="Validé",0,$J95-Paramètres!$B$2))</f>
        <v/>
      </c>
      <c r="Q95" s="16">
        <f>IF($I95="","Sans dépendance",IFERROR(IF(INDEX('Jalons'!$M$4:$M$103,MATCH($I95,'Jalons'!$A$4:$A$103,0))="Validé","Oui","Non"),"ID introuvable"))</f>
        <v/>
      </c>
      <c r="R95" s="16">
        <f>IF($A95="","",IF($M95="Refusé","ARBITRAGE",IF(AND($Q95&lt;&gt;"Oui",$Q95&lt;&gt;"Sans dépendance"),"BLOCAGE",IF($M95="Validé","OK",IF($J95="","DATE MANQUANTE",IF($P95&lt;0,"EN RETARD",IF($P95&lt;=Paramètres!$B$4,"À ÉCHÉANCE","À SUIVRE")))))))</f>
        <v/>
      </c>
    </row>
    <row r="96" ht="23" customHeight="1">
      <c r="A96" s="19" t="n"/>
      <c r="B96" s="19" t="n"/>
      <c r="C96" s="19" t="n"/>
      <c r="D96" s="19" t="n"/>
      <c r="E96" s="19" t="n"/>
      <c r="F96" s="19" t="n"/>
      <c r="G96" s="19" t="n"/>
      <c r="H96" s="19" t="n"/>
      <c r="I96" s="19" t="n"/>
      <c r="J96" s="17" t="n"/>
      <c r="K96" s="18" t="n"/>
      <c r="L96" s="17" t="n"/>
      <c r="M96" s="18" t="n"/>
      <c r="N96" s="17" t="n"/>
      <c r="O96" s="19" t="n"/>
      <c r="P96" s="21">
        <f>IF($J96="","",IF($M96="Validé",0,$J96-Paramètres!$B$2))</f>
        <v/>
      </c>
      <c r="Q96" s="13">
        <f>IF($I96="","Sans dépendance",IFERROR(IF(INDEX('Jalons'!$M$4:$M$103,MATCH($I96,'Jalons'!$A$4:$A$103,0))="Validé","Oui","Non"),"ID introuvable"))</f>
        <v/>
      </c>
      <c r="R96" s="13">
        <f>IF($A96="","",IF($M96="Refusé","ARBITRAGE",IF(AND($Q96&lt;&gt;"Oui",$Q96&lt;&gt;"Sans dépendance"),"BLOCAGE",IF($M96="Validé","OK",IF($J96="","DATE MANQUANTE",IF($P96&lt;0,"EN RETARD",IF($P96&lt;=Paramètres!$B$4,"À ÉCHÉANCE","À SUIVRE")))))))</f>
        <v/>
      </c>
    </row>
    <row r="97" ht="23" customHeight="1">
      <c r="A97" s="19" t="n"/>
      <c r="B97" s="19" t="n"/>
      <c r="C97" s="19" t="n"/>
      <c r="D97" s="19" t="n"/>
      <c r="E97" s="19" t="n"/>
      <c r="F97" s="19" t="n"/>
      <c r="G97" s="19" t="n"/>
      <c r="H97" s="19" t="n"/>
      <c r="I97" s="19" t="n"/>
      <c r="J97" s="17" t="n"/>
      <c r="K97" s="18" t="n"/>
      <c r="L97" s="17" t="n"/>
      <c r="M97" s="18" t="n"/>
      <c r="N97" s="17" t="n"/>
      <c r="O97" s="19" t="n"/>
      <c r="P97" s="22">
        <f>IF($J97="","",IF($M97="Validé",0,$J97-Paramètres!$B$2))</f>
        <v/>
      </c>
      <c r="Q97" s="16">
        <f>IF($I97="","Sans dépendance",IFERROR(IF(INDEX('Jalons'!$M$4:$M$103,MATCH($I97,'Jalons'!$A$4:$A$103,0))="Validé","Oui","Non"),"ID introuvable"))</f>
        <v/>
      </c>
      <c r="R97" s="16">
        <f>IF($A97="","",IF($M97="Refusé","ARBITRAGE",IF(AND($Q97&lt;&gt;"Oui",$Q97&lt;&gt;"Sans dépendance"),"BLOCAGE",IF($M97="Validé","OK",IF($J97="","DATE MANQUANTE",IF($P97&lt;0,"EN RETARD",IF($P97&lt;=Paramètres!$B$4,"À ÉCHÉANCE","À SUIVRE")))))))</f>
        <v/>
      </c>
    </row>
    <row r="98" ht="23" customHeight="1">
      <c r="A98" s="19" t="n"/>
      <c r="B98" s="19" t="n"/>
      <c r="C98" s="19" t="n"/>
      <c r="D98" s="19" t="n"/>
      <c r="E98" s="19" t="n"/>
      <c r="F98" s="19" t="n"/>
      <c r="G98" s="19" t="n"/>
      <c r="H98" s="19" t="n"/>
      <c r="I98" s="19" t="n"/>
      <c r="J98" s="17" t="n"/>
      <c r="K98" s="18" t="n"/>
      <c r="L98" s="17" t="n"/>
      <c r="M98" s="18" t="n"/>
      <c r="N98" s="17" t="n"/>
      <c r="O98" s="19" t="n"/>
      <c r="P98" s="21">
        <f>IF($J98="","",IF($M98="Validé",0,$J98-Paramètres!$B$2))</f>
        <v/>
      </c>
      <c r="Q98" s="13">
        <f>IF($I98="","Sans dépendance",IFERROR(IF(INDEX('Jalons'!$M$4:$M$103,MATCH($I98,'Jalons'!$A$4:$A$103,0))="Validé","Oui","Non"),"ID introuvable"))</f>
        <v/>
      </c>
      <c r="R98" s="13">
        <f>IF($A98="","",IF($M98="Refusé","ARBITRAGE",IF(AND($Q98&lt;&gt;"Oui",$Q98&lt;&gt;"Sans dépendance"),"BLOCAGE",IF($M98="Validé","OK",IF($J98="","DATE MANQUANTE",IF($P98&lt;0,"EN RETARD",IF($P98&lt;=Paramètres!$B$4,"À ÉCHÉANCE","À SUIVRE")))))))</f>
        <v/>
      </c>
    </row>
    <row r="99" ht="23" customHeight="1">
      <c r="A99" s="19" t="n"/>
      <c r="B99" s="19" t="n"/>
      <c r="C99" s="19" t="n"/>
      <c r="D99" s="19" t="n"/>
      <c r="E99" s="19" t="n"/>
      <c r="F99" s="19" t="n"/>
      <c r="G99" s="19" t="n"/>
      <c r="H99" s="19" t="n"/>
      <c r="I99" s="19" t="n"/>
      <c r="J99" s="17" t="n"/>
      <c r="K99" s="18" t="n"/>
      <c r="L99" s="17" t="n"/>
      <c r="M99" s="18" t="n"/>
      <c r="N99" s="17" t="n"/>
      <c r="O99" s="19" t="n"/>
      <c r="P99" s="22">
        <f>IF($J99="","",IF($M99="Validé",0,$J99-Paramètres!$B$2))</f>
        <v/>
      </c>
      <c r="Q99" s="16">
        <f>IF($I99="","Sans dépendance",IFERROR(IF(INDEX('Jalons'!$M$4:$M$103,MATCH($I99,'Jalons'!$A$4:$A$103,0))="Validé","Oui","Non"),"ID introuvable"))</f>
        <v/>
      </c>
      <c r="R99" s="16">
        <f>IF($A99="","",IF($M99="Refusé","ARBITRAGE",IF(AND($Q99&lt;&gt;"Oui",$Q99&lt;&gt;"Sans dépendance"),"BLOCAGE",IF($M99="Validé","OK",IF($J99="","DATE MANQUANTE",IF($P99&lt;0,"EN RETARD",IF($P99&lt;=Paramètres!$B$4,"À ÉCHÉANCE","À SUIVRE")))))))</f>
        <v/>
      </c>
    </row>
    <row r="100" ht="23" customHeight="1">
      <c r="A100" s="19" t="n"/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7" t="n"/>
      <c r="K100" s="18" t="n"/>
      <c r="L100" s="17" t="n"/>
      <c r="M100" s="18" t="n"/>
      <c r="N100" s="17" t="n"/>
      <c r="O100" s="19" t="n"/>
      <c r="P100" s="21">
        <f>IF($J100="","",IF($M100="Validé",0,$J100-Paramètres!$B$2))</f>
        <v/>
      </c>
      <c r="Q100" s="13">
        <f>IF($I100="","Sans dépendance",IFERROR(IF(INDEX('Jalons'!$M$4:$M$103,MATCH($I100,'Jalons'!$A$4:$A$103,0))="Validé","Oui","Non"),"ID introuvable"))</f>
        <v/>
      </c>
      <c r="R100" s="13">
        <f>IF($A100="","",IF($M100="Refusé","ARBITRAGE",IF(AND($Q100&lt;&gt;"Oui",$Q100&lt;&gt;"Sans dépendance"),"BLOCAGE",IF($M100="Validé","OK",IF($J100="","DATE MANQUANTE",IF($P100&lt;0,"EN RETARD",IF($P100&lt;=Paramètres!$B$4,"À ÉCHÉANCE","À SUIVRE")))))))</f>
        <v/>
      </c>
    </row>
    <row r="101" ht="23" customHeight="1">
      <c r="A101" s="19" t="n"/>
      <c r="B101" s="19" t="n"/>
      <c r="C101" s="19" t="n"/>
      <c r="D101" s="19" t="n"/>
      <c r="E101" s="19" t="n"/>
      <c r="F101" s="19" t="n"/>
      <c r="G101" s="19" t="n"/>
      <c r="H101" s="19" t="n"/>
      <c r="I101" s="19" t="n"/>
      <c r="J101" s="17" t="n"/>
      <c r="K101" s="18" t="n"/>
      <c r="L101" s="17" t="n"/>
      <c r="M101" s="18" t="n"/>
      <c r="N101" s="17" t="n"/>
      <c r="O101" s="19" t="n"/>
      <c r="P101" s="22">
        <f>IF($J101="","",IF($M101="Validé",0,$J101-Paramètres!$B$2))</f>
        <v/>
      </c>
      <c r="Q101" s="16">
        <f>IF($I101="","Sans dépendance",IFERROR(IF(INDEX('Jalons'!$M$4:$M$103,MATCH($I101,'Jalons'!$A$4:$A$103,0))="Validé","Oui","Non"),"ID introuvable"))</f>
        <v/>
      </c>
      <c r="R101" s="16">
        <f>IF($A101="","",IF($M101="Refusé","ARBITRAGE",IF(AND($Q101&lt;&gt;"Oui",$Q101&lt;&gt;"Sans dépendance"),"BLOCAGE",IF($M101="Validé","OK",IF($J101="","DATE MANQUANTE",IF($P101&lt;0,"EN RETARD",IF($P101&lt;=Paramètres!$B$4,"À ÉCHÉANCE","À SUIVRE")))))))</f>
        <v/>
      </c>
    </row>
    <row r="102" ht="23" customHeight="1">
      <c r="A102" s="19" t="n"/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7" t="n"/>
      <c r="K102" s="18" t="n"/>
      <c r="L102" s="17" t="n"/>
      <c r="M102" s="18" t="n"/>
      <c r="N102" s="17" t="n"/>
      <c r="O102" s="19" t="n"/>
      <c r="P102" s="21">
        <f>IF($J102="","",IF($M102="Validé",0,$J102-Paramètres!$B$2))</f>
        <v/>
      </c>
      <c r="Q102" s="13">
        <f>IF($I102="","Sans dépendance",IFERROR(IF(INDEX('Jalons'!$M$4:$M$103,MATCH($I102,'Jalons'!$A$4:$A$103,0))="Validé","Oui","Non"),"ID introuvable"))</f>
        <v/>
      </c>
      <c r="R102" s="13">
        <f>IF($A102="","",IF($M102="Refusé","ARBITRAGE",IF(AND($Q102&lt;&gt;"Oui",$Q102&lt;&gt;"Sans dépendance"),"BLOCAGE",IF($M102="Validé","OK",IF($J102="","DATE MANQUANTE",IF($P102&lt;0,"EN RETARD",IF($P102&lt;=Paramètres!$B$4,"À ÉCHÉANCE","À SUIVRE")))))))</f>
        <v/>
      </c>
    </row>
    <row r="103" ht="23" customHeight="1">
      <c r="A103" s="19" t="n"/>
      <c r="B103" s="19" t="n"/>
      <c r="C103" s="19" t="n"/>
      <c r="D103" s="19" t="n"/>
      <c r="E103" s="19" t="n"/>
      <c r="F103" s="19" t="n"/>
      <c r="G103" s="19" t="n"/>
      <c r="H103" s="19" t="n"/>
      <c r="I103" s="19" t="n"/>
      <c r="J103" s="17" t="n"/>
      <c r="K103" s="18" t="n"/>
      <c r="L103" s="17" t="n"/>
      <c r="M103" s="18" t="n"/>
      <c r="N103" s="17" t="n"/>
      <c r="O103" s="19" t="n"/>
      <c r="P103" s="22">
        <f>IF($J103="","",IF($M103="Validé",0,$J103-Paramètres!$B$2))</f>
        <v/>
      </c>
      <c r="Q103" s="16">
        <f>IF($I103="","Sans dépendance",IFERROR(IF(INDEX('Jalons'!$M$4:$M$103,MATCH($I103,'Jalons'!$A$4:$A$103,0))="Validé","Oui","Non"),"ID introuvable"))</f>
        <v/>
      </c>
      <c r="R103" s="16">
        <f>IF($A103="","",IF($M103="Refusé","ARBITRAGE",IF(AND($Q103&lt;&gt;"Oui",$Q103&lt;&gt;"Sans dépendance"),"BLOCAGE",IF($M103="Validé","OK",IF($J103="","DATE MANQUANTE",IF($P103&lt;0,"EN RETARD",IF($P103&lt;=Paramètres!$B$4,"À ÉCHÉANCE","À SUIVRE")))))))</f>
        <v/>
      </c>
    </row>
  </sheetData>
  <mergeCells count="1">
    <mergeCell ref="A1:R1"/>
  </mergeCells>
  <conditionalFormatting sqref="A4:A103">
    <cfRule type="expression" priority="1" dxfId="0">
      <formula>AND($A4&lt;&gt;"",COUNTIF($A$4:$A$103,$A4)&gt;1)</formula>
    </cfRule>
  </conditionalFormatting>
  <conditionalFormatting sqref="I4:I103">
    <cfRule type="expression" priority="2" dxfId="0">
      <formula>AND($I4&lt;&gt;"",OR($I4=$A4,COUNTIF($A$4:$A$103,$I4)=0))</formula>
    </cfRule>
  </conditionalFormatting>
  <conditionalFormatting sqref="J4:J103">
    <cfRule type="expression" priority="3" dxfId="1">
      <formula>AND($A4&lt;&gt;"",$J4="")</formula>
    </cfRule>
  </conditionalFormatting>
  <conditionalFormatting sqref="M4:N103">
    <cfRule type="expression" priority="4" dxfId="0">
      <formula>OR(AND($M4="Validé",$N4=""),AND($M4&lt;&gt;"Validé",$N4&lt;&gt;""))</formula>
    </cfRule>
  </conditionalFormatting>
  <conditionalFormatting sqref="R4:R103">
    <cfRule type="expression" priority="5" dxfId="0">
      <formula>OR($R4="ARBITRAGE",$R4="BLOCAGE",$R4="EN RETARD")</formula>
    </cfRule>
    <cfRule type="expression" priority="6" dxfId="1">
      <formula>OR($R4="À ÉCHÉANCE",$R4="DATE MANQUANTE")</formula>
    </cfRule>
    <cfRule type="expression" priority="7" dxfId="2">
      <formula>$R4="OK"</formula>
    </cfRule>
  </conditionalFormatting>
  <conditionalFormatting sqref="M4:M103">
    <cfRule type="expression" priority="8" dxfId="3">
      <formula>$M4="Sans objet"</formula>
    </cfRule>
  </conditionalFormatting>
  <dataValidations count="10">
    <dataValidation sqref="A4:A103" showDropDown="0" showInputMessage="1" showErrorMessage="1" allowBlank="0" errorTitle="Identifiant déjà utilisé" error="L’identifiant doit être unique dans le tableau." promptTitle="ID jalon" prompt="Utilisez un identifiant unique, par exemple DEMO-J011." type="custom">
      <formula1>OR(A4="",COUNTIF($A$4:$A$103,A4)=1)</formula1>
    </dataValidation>
    <dataValidation sqref="B4:B103" showDropDown="0" showInputMessage="0" showErrorMessage="1" allowBlank="0" errorTitle="Événement non reconnu" error="Sélectionnez un événement dans la liste des paramètres." type="list">
      <formula1>'Paramètres'!$I$3:$I$5</formula1>
    </dataValidation>
    <dataValidation sqref="C4:C103" showDropDown="0" showInputMessage="0" showErrorMessage="1" allowBlank="0" errorTitle="Type non reconnu" error="Sélectionnez un type d’événement dans la liste." type="list">
      <formula1>'Paramètres'!$D$3:$D$6</formula1>
    </dataValidation>
    <dataValidation sqref="D4:D103" showDropDown="0" showInputMessage="0" showErrorMessage="1" allowBlank="0" errorTitle="Phase non reconnue" error="Sélectionnez une phase dans la liste." type="list">
      <formula1>'Paramètres'!$E$3:$E$9</formula1>
    </dataValidation>
    <dataValidation sqref="G4:H103" showDropDown="0" showInputMessage="0" showErrorMessage="1" allowBlank="0" errorTitle="Rôle non reconnu" error="Sélectionnez un rôle dans la liste." type="list">
      <formula1>'Paramètres'!$F$3:$F$10</formula1>
    </dataValidation>
    <dataValidation sqref="I4:I103" showDropDown="0" showInputMessage="1" showErrorMessage="1" allowBlank="0" errorTitle="Dépendance incorrecte" error="La dépendance doit correspondre à un autre ID jalon existant." promptTitle="ID dépendance" prompt="Laissez vide ou saisissez l’ID exact d’un autre jalon." type="custom">
      <formula1>OR(I4="",AND(I4&lt;&gt;$A4,COUNTIF($A$4:$A$103,I4)=1))</formula1>
    </dataValidation>
    <dataValidation sqref="J4:J103 L4:L103" showDropDown="0" showInputMessage="0" showErrorMessage="1" allowBlank="0" errorTitle="Date non autorisée" error="Saisissez une date comprise entre le 01/01/2025 et le 31/12/2035." type="date" operator="between">
      <formula1>DATE(2025,1,1)</formula1>
      <formula2>DATE(2035,12,31)</formula2>
    </dataValidation>
    <dataValidation sqref="K4:K103" showDropDown="0" showInputMessage="0" showErrorMessage="1" allowBlank="0" errorTitle="Valeur non reconnue" error="Sélectionnez Oui ou Non." type="list">
      <formula1>'Paramètres'!$G$3:$G$4</formula1>
    </dataValidation>
    <dataValidation sqref="M4:M103" showDropDown="0" showInputMessage="0" showErrorMessage="1" allowBlank="0" errorTitle="Statut non reconnu" error="Sélectionnez un statut dans la liste." type="list">
      <formula1>'Paramètres'!$H$3:$H$7</formula1>
    </dataValidation>
    <dataValidation sqref="N4:N103" showDropDown="0" showInputMessage="0" showErrorMessage="1" allowBlank="0" errorTitle="Statut et date incohérents" error="Le statut Validé exige une date comprise entre le 01/01/2025 et le 31/12/2035. Pour tout autre statut, la date doit rester vide." type="custom">
      <formula1>OR(AND($M4="Validé",ISNUMBER($N4),$N4&gt;=DATE(2025,1,1),$N4&lt;=DATE(2035,12,31)),AND($M4&lt;&gt;"Validé",$N4=""))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2026-09-08T00:12:56Z</dcterms:created>
  <dcterms:modified xmlns:dcterms="http://purl.org/dc/terms/" xmlns:xsi="http://www.w3.org/2001/XMLSchema-instance" xsi:type="dcterms:W3CDTF">2026-09-08T00:12:57+00:00Z</dcterms:modified>
</cp:coreProperties>
</file>